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9\Abtshagen\4R14\4V1068 Messungen incl. Messprotokolle FTTH\"/>
    </mc:Choice>
  </mc:AlternateContent>
  <bookViews>
    <workbookView xWindow="0" yWindow="0" windowWidth="28800" windowHeight="11715" activeTab="1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52511"/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>
  <authors>
    <author>Roesler.Tobias</author>
  </authors>
  <commentList>
    <comment ref="AY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>
      <text>
        <r>
          <rPr>
            <b/>
            <sz val="8"/>
            <color indexed="81"/>
            <rFont val="Tahoma"/>
          </rPr>
          <t>Mögliche GPON-Steckverbindungen:</t>
        </r>
        <r>
          <rPr>
            <sz val="8"/>
            <color indexed="81"/>
            <rFont val="Tahoma"/>
          </rPr>
          <t xml:space="preserve">
1= OLT oder PON-Messfilter
2= Gf-AP
3= Gebäudeverteiler
4= Gf-TA</t>
        </r>
      </text>
    </comment>
    <comment ref="AY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Roesler.Tobias</author>
  </authors>
  <commentList>
    <comment ref="AN30" authorId="0" shapeId="0">
      <text>
        <r>
          <rPr>
            <b/>
            <sz val="8"/>
            <color indexed="81"/>
            <rFont val="Tahoma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<sst xmlns="http://schemas.openxmlformats.org/spreadsheetml/2006/main" count="327" uniqueCount="183">
  <si>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</si>
  <si>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</si>
  <si>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</si>
  <si>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</si>
  <si>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</si>
  <si>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</si>
  <si>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</si>
  <si>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</si>
  <si>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</si>
  <si>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</si>
  <si>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</si>
  <si>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</si>
  <si>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</si>
  <si>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</si>
  <si>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</si>
  <si>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</si>
  <si>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</si>
  <si>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</si>
  <si>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</si>
  <si>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</si>
  <si>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</si>
  <si>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</si>
  <si>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</si>
  <si>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</si>
  <si>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</si>
  <si>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</si>
  <si>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</si>
  <si>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</si>
  <si>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</si>
  <si>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</si>
  <si>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</si>
  <si>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</si>
  <si>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</si>
  <si>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</si>
  <si>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</si>
  <si>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</si>
  <si>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</si>
  <si>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</si>
  <si>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</si>
  <si>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</si>
  <si>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</si>
  <si>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</si>
  <si>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</si>
  <si>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</si>
  <si>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</si>
  <si>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</si>
  <si>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</si>
  <si>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</si>
  <si>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</si>
  <si>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</si>
  <si>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</si>
  <si>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</si>
  <si>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</si>
  <si>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</si>
  <si>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</si>
  <si>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</si>
  <si>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</si>
  <si>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</si>
  <si>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</si>
  <si>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</si>
  <si>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</si>
  <si>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</si>
  <si>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</si>
  <si>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</si>
  <si>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</si>
  <si>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</si>
  <si>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</si>
  <si>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</si>
  <si>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</si>
  <si>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</si>
  <si>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</si>
  <si>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</si>
  <si>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</si>
  <si>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</si>
  <si>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</si>
  <si>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</si>
  <si>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</si>
  <si>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</si>
  <si>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</si>
  <si>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</si>
  <si>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</si>
  <si>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</si>
  <si>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</si>
  <si>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</si>
  <si>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</si>
  <si>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</si>
  <si>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</si>
  <si>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</si>
  <si>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</si>
  <si>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</si>
  <si>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</si>
  <si>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</si>
  <si>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</si>
  <si>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</si>
  <si>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</si>
  <si>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</si>
  <si>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</si>
  <si>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</si>
  <si>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</si>
  <si>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</si>
  <si>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</si>
  <si>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</si>
  <si>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</si>
  <si>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</si>
  <si>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</si>
  <si>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</si>
  <si>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</si>
  <si>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</si>
  <si>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</si>
  <si>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</si>
  <si>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</si>
  <si>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</si>
  <si>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</si>
  <si>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</si>
  <si>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</si>
  <si>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</si>
  <si>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</si>
  <si>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</si>
  <si>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</si>
  <si>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</si>
  <si>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</si>
  <si>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</si>
  <si>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</si>
  <si>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</si>
  <si>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</si>
  <si>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</si>
  <si>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</si>
  <si>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</si>
  <si>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</si>
  <si>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</si>
  <si>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</si>
  <si>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</si>
  <si>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</si>
  <si>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</si>
  <si>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</si>
  <si>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</si>
  <si>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</si>
  <si>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</si>
  <si>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</si>
  <si>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</si>
  <si>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</si>
  <si>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</si>
  <si>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</si>
  <si>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</si>
  <si>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</si>
  <si>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</si>
  <si>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</si>
  <si>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</si>
  <si>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</si>
  <si>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</si>
  <si>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</si>
  <si>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</si>
  <si>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</si>
  <si>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</si>
  <si>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</si>
  <si>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</si>
  <si>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</si>
  <si>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</si>
  <si>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</si>
  <si>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X</t>
  </si>
  <si>
    <t>18510 Wittenhagen</t>
  </si>
  <si>
    <t>S.Teubel</t>
  </si>
  <si>
    <t>203519978</t>
  </si>
  <si>
    <t>NVT_V1068_38327_004_FTTH_HK_4R_14 UL_Ost1_MBfD</t>
  </si>
  <si>
    <t>4R14</t>
  </si>
  <si>
    <t>Hauptstraße 2</t>
  </si>
  <si>
    <t>Hauptstraße 1</t>
  </si>
  <si>
    <t>Hauptstraße 8</t>
  </si>
  <si>
    <t>Hauptstraße 4</t>
  </si>
  <si>
    <t>Am Feldrain 3 A</t>
  </si>
  <si>
    <t>Hauptstraße 3</t>
  </si>
  <si>
    <t>Hauptstraße 5</t>
  </si>
  <si>
    <t>Franzburger Str. 76</t>
  </si>
  <si>
    <t>Franzburger Str. 62 B</t>
  </si>
  <si>
    <t>Franzburger Str. 62 A</t>
  </si>
  <si>
    <t>Franzburger Str. 58</t>
  </si>
  <si>
    <t>Franzburger Str. 60</t>
  </si>
  <si>
    <t>Franzburger Str. 63 A</t>
  </si>
  <si>
    <t>franzburger Str. 64 B</t>
  </si>
  <si>
    <t>Franzburge Str. 62 C</t>
  </si>
  <si>
    <t>Franzburger Str. 62</t>
  </si>
  <si>
    <t>Hauptstraße10</t>
  </si>
  <si>
    <t>Hauptstraße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</si>
</sst>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79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1" fillId="0" borderId="0" xfId="0" applyNumberFormat="1" applyFont="1" applyProtection="1"/>
    <xf numFmtId="1" fontId="31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2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/>
    <cellStyle name="Standard_Gf-Meßprotokoll" xfId="2"/>
    <cellStyle name="Standard_Messprotokoll4" xfId="3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47625</xdr:rowOff>
    </xdr:from>
    <xdr:to>
      <xdr:col>63</xdr:col>
      <xdr:colOff>19050</xdr:colOff>
      <xdr:row>60</xdr:row>
      <xdr:rowOff>6484</xdr:rowOff>
    </xdr:to>
    <xdr:pic macro="[0]!Grafik1_Klicken"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20350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S115"/>
  <sheetViews>
    <sheetView showGridLines="0" showRowColHeaders="0" topLeftCell="A22" workbookViewId="0">
      <selection activeCell="BC42" sqref="BC42:BG42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49" t="s">
        <v>117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17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61" t="s">
        <v>163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138"/>
      <c r="AN7" s="138"/>
      <c r="AO7" s="138"/>
      <c r="AP7" s="138"/>
      <c r="AQ7" s="138"/>
      <c r="AR7" s="231" t="s">
        <v>162</v>
      </c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138"/>
      <c r="BH7" s="137"/>
      <c r="BI7" s="263">
        <v>1</v>
      </c>
      <c r="BJ7" s="263"/>
      <c r="BK7" s="262" t="s">
        <v>5</v>
      </c>
      <c r="BL7" s="262"/>
      <c r="BM7" s="262"/>
      <c r="BN7" s="263">
        <v>2</v>
      </c>
      <c r="BO7" s="263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05"/>
      <c r="Y11" s="205"/>
      <c r="Z11" s="205"/>
      <c r="AA11" s="205"/>
      <c r="AB11" s="205"/>
      <c r="AC11" s="217"/>
      <c r="AD11" s="217"/>
      <c r="AE11" s="191" t="s">
        <v>158</v>
      </c>
      <c r="AF11" s="191"/>
      <c r="AG11" s="191"/>
      <c r="AH11" s="191"/>
      <c r="AI11" s="205"/>
      <c r="AJ11" s="205"/>
      <c r="AK11" s="205"/>
      <c r="AL11" s="65"/>
      <c r="AM11" s="66"/>
      <c r="AN11" s="191" t="s">
        <v>71</v>
      </c>
      <c r="AO11" s="191"/>
      <c r="AP11" s="191"/>
      <c r="AQ11" s="191"/>
      <c r="AR11" s="205"/>
      <c r="AS11" s="205"/>
      <c r="AT11" s="205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190" t="s">
        <v>65</v>
      </c>
      <c r="U13" s="190"/>
      <c r="V13" s="190"/>
      <c r="W13" s="190"/>
      <c r="X13" s="205" t="s">
        <v>164</v>
      </c>
      <c r="Y13" s="205"/>
      <c r="Z13" s="205"/>
      <c r="AA13" s="205"/>
      <c r="AB13" s="205"/>
      <c r="AC13" s="66"/>
      <c r="AD13" s="66"/>
      <c r="AE13" s="191" t="s">
        <v>37</v>
      </c>
      <c r="AF13" s="191"/>
      <c r="AG13" s="191"/>
      <c r="AH13" s="191"/>
      <c r="AI13" s="205">
        <v>13</v>
      </c>
      <c r="AJ13" s="205"/>
      <c r="AK13" s="205"/>
      <c r="AL13" s="66"/>
      <c r="AM13" s="66"/>
      <c r="AN13" s="191" t="s">
        <v>87</v>
      </c>
      <c r="AO13" s="191"/>
      <c r="AP13" s="191"/>
      <c r="AQ13" s="68" t="s">
        <v>66</v>
      </c>
      <c r="AR13" s="205">
        <v>1068</v>
      </c>
      <c r="AS13" s="205"/>
      <c r="AT13" s="205"/>
      <c r="AU13" s="66"/>
      <c r="AV13" s="66"/>
      <c r="AW13" s="66"/>
      <c r="AX13" s="190" t="s">
        <v>88</v>
      </c>
      <c r="AY13" s="190"/>
      <c r="AZ13" s="190"/>
      <c r="BA13" s="190"/>
      <c r="BB13" s="190"/>
      <c r="BC13" s="205">
        <v>1</v>
      </c>
      <c r="BD13" s="205"/>
      <c r="BE13" s="205"/>
      <c r="BF13" s="205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264" t="s">
        <v>152</v>
      </c>
      <c r="T18" s="264"/>
      <c r="U18" s="264"/>
      <c r="V18" s="264"/>
      <c r="W18" s="264"/>
      <c r="X18" s="264"/>
      <c r="Y18" s="264"/>
      <c r="Z18" s="264"/>
      <c r="AA18" s="264"/>
      <c r="AB18" s="264"/>
      <c r="AC18" s="64"/>
      <c r="AD18" s="64"/>
      <c r="AE18" s="78" t="s">
        <v>35</v>
      </c>
      <c r="AF18" s="62"/>
      <c r="AG18" s="64"/>
      <c r="AH18" s="64"/>
      <c r="AI18" s="64"/>
      <c r="AJ18" s="64"/>
      <c r="AK18" s="265"/>
      <c r="AL18" s="265"/>
      <c r="AM18" s="265"/>
      <c r="AN18" s="265"/>
      <c r="AO18" s="265"/>
      <c r="AP18" s="265"/>
      <c r="AQ18" s="265"/>
      <c r="AR18" s="265"/>
      <c r="AS18" s="265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264" t="s">
        <v>153</v>
      </c>
      <c r="T20" s="264"/>
      <c r="U20" s="264"/>
      <c r="V20" s="264"/>
      <c r="W20" s="264"/>
      <c r="X20" s="264"/>
      <c r="Y20" s="264"/>
      <c r="Z20" s="264"/>
      <c r="AA20" s="264"/>
      <c r="AB20" s="264"/>
      <c r="AC20" s="64"/>
      <c r="AD20" s="64"/>
      <c r="AE20" s="78" t="s">
        <v>35</v>
      </c>
      <c r="AF20" s="62"/>
      <c r="AG20" s="64"/>
      <c r="AH20" s="64"/>
      <c r="AI20" s="64"/>
      <c r="AJ20" s="64"/>
      <c r="AK20" s="265"/>
      <c r="AL20" s="265"/>
      <c r="AM20" s="265"/>
      <c r="AN20" s="265"/>
      <c r="AO20" s="265"/>
      <c r="AP20" s="265"/>
      <c r="AQ20" s="265"/>
      <c r="AR20" s="265"/>
      <c r="AS20" s="265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197"/>
      <c r="AH24" s="198"/>
      <c r="AI24" s="199"/>
      <c r="AJ24" s="200" t="s">
        <v>137</v>
      </c>
      <c r="AK24" s="201"/>
      <c r="AL24" s="275" t="s">
        <v>134</v>
      </c>
      <c r="AM24" s="229"/>
      <c r="AN24" s="229"/>
      <c r="AO24" s="229"/>
      <c r="AP24" s="229"/>
      <c r="AQ24" s="229"/>
      <c r="AR24" s="276"/>
      <c r="AS24" s="283" t="s">
        <v>64</v>
      </c>
      <c r="AT24" s="284"/>
      <c r="AU24" s="284"/>
      <c r="AV24" s="284"/>
      <c r="AW24" s="284"/>
      <c r="AX24" s="284"/>
      <c r="AY24" s="284"/>
      <c r="AZ24" s="284"/>
      <c r="BA24" s="284"/>
      <c r="BB24" s="284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202">
        <v>1049.5999999999999</v>
      </c>
      <c r="AF25" s="203"/>
      <c r="AG25" s="203"/>
      <c r="AH25" s="203"/>
      <c r="AI25" s="204"/>
      <c r="AJ25" s="200" t="s">
        <v>137</v>
      </c>
      <c r="AK25" s="201"/>
      <c r="AL25" s="272" t="s">
        <v>135</v>
      </c>
      <c r="AM25" s="273"/>
      <c r="AN25" s="273"/>
      <c r="AO25" s="273"/>
      <c r="AP25" s="273"/>
      <c r="AQ25" s="273"/>
      <c r="AR25" s="274"/>
      <c r="AS25" s="285" t="s">
        <v>128</v>
      </c>
      <c r="AT25" s="266"/>
      <c r="AU25" s="266"/>
      <c r="AV25" s="266"/>
      <c r="AW25" s="266"/>
      <c r="AX25" s="266"/>
      <c r="AY25" s="266"/>
      <c r="AZ25" s="266"/>
      <c r="BA25" s="266" t="s">
        <v>129</v>
      </c>
      <c r="BB25" s="266"/>
      <c r="BC25" s="266"/>
      <c r="BD25" s="266"/>
      <c r="BE25" s="266"/>
      <c r="BF25" s="266"/>
      <c r="BG25" s="266"/>
      <c r="BH25" s="266"/>
      <c r="BI25" s="266" t="s">
        <v>130</v>
      </c>
      <c r="BJ25" s="266"/>
      <c r="BK25" s="266"/>
      <c r="BL25" s="266"/>
      <c r="BM25" s="266"/>
      <c r="BN25" s="266"/>
      <c r="BO25" s="266"/>
      <c r="BP25" s="266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29">
        <v>0.36</v>
      </c>
      <c r="L28" s="229"/>
      <c r="M28" s="229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29">
        <v>0.24</v>
      </c>
      <c r="L29" s="229"/>
      <c r="M29" s="229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67"/>
      <c r="AZ29" s="268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267"/>
      <c r="BO29" s="268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29">
        <v>0.25</v>
      </c>
      <c r="L30" s="229"/>
      <c r="M30" s="229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69">
        <v>1</v>
      </c>
      <c r="AO30" s="269"/>
      <c r="AP30" s="269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67" t="s">
        <v>159</v>
      </c>
      <c r="AZ30" s="268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267"/>
      <c r="BO30" s="268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183"/>
      <c r="O33" s="237" t="s">
        <v>147</v>
      </c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9"/>
      <c r="AB33" s="215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1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123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185"/>
      <c r="O34" s="240" t="s">
        <v>160</v>
      </c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2"/>
      <c r="AB34" s="245" t="s">
        <v>3</v>
      </c>
      <c r="AC34" s="245"/>
      <c r="AD34" s="246"/>
      <c r="AE34" s="277" t="s">
        <v>140</v>
      </c>
      <c r="AF34" s="245"/>
      <c r="AG34" s="245"/>
      <c r="AH34" s="278"/>
      <c r="AI34" s="185"/>
      <c r="AJ34" s="185"/>
      <c r="AK34" s="185"/>
      <c r="AL34" s="185"/>
      <c r="AM34" s="282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0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0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1"/>
    </row>
    <row r="35" spans="2:123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185"/>
      <c r="O35" s="243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4"/>
      <c r="AB35" s="247"/>
      <c r="AC35" s="247"/>
      <c r="AD35" s="248"/>
      <c r="AE35" s="279"/>
      <c r="AF35" s="247"/>
      <c r="AG35" s="247"/>
      <c r="AH35" s="280"/>
      <c r="AI35" s="247"/>
      <c r="AJ35" s="247"/>
      <c r="AK35" s="247"/>
      <c r="AL35" s="247"/>
      <c r="AM35" s="280"/>
      <c r="AN35" s="243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4"/>
      <c r="DQ35" s="169"/>
      <c r="DR35" s="169">
        <v>1</v>
      </c>
      <c r="DS35" s="169">
        <v>0</v>
      </c>
    </row>
    <row r="36" spans="2:123" s="31" customFormat="1" ht="21.95" customHeight="1" thickBot="1">
      <c r="B36" s="341" t="s">
        <v>44</v>
      </c>
      <c r="C36" s="342"/>
      <c r="D36" s="342"/>
      <c r="E36" s="218">
        <f>IF(AY29="x",1,IF(AY30="x",1,"-"))</f>
        <v>1</v>
      </c>
      <c r="F36" s="219"/>
      <c r="G36" s="220"/>
      <c r="H36" s="218" t="str">
        <f>IF(BN29="x",1,IF(BN30="x",1,"-"))</f>
        <v>-</v>
      </c>
      <c r="I36" s="219"/>
      <c r="J36" s="221"/>
      <c r="K36" s="222">
        <v>6801</v>
      </c>
      <c r="L36" s="223"/>
      <c r="M36" s="223"/>
      <c r="N36" s="224"/>
      <c r="O36" s="192" t="s">
        <v>165</v>
      </c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232">
        <v>1</v>
      </c>
      <c r="AC36" s="233"/>
      <c r="AD36" s="234"/>
      <c r="AE36" s="343"/>
      <c r="AF36" s="233"/>
      <c r="AG36" s="233"/>
      <c r="AH36" s="344"/>
      <c r="AI36" s="334">
        <f>AG24+AE25+AE36</f>
        <v>1049.5999999999999</v>
      </c>
      <c r="AJ36" s="334"/>
      <c r="AK36" s="334"/>
      <c r="AL36" s="334"/>
      <c r="AM36" s="335"/>
      <c r="AN36" s="326">
        <f>(K28+W30)*AI36/1000+(AN30*AN29)+IF(AI36&gt;0,1,0)+IF(AY29="x",10.5,0)+IF(BN29="x",7.1,0)+IF(AY30="x",17.1,0)+IF(BN30="x",17.1,0)</f>
        <v>18.937775999999999</v>
      </c>
      <c r="AO36" s="327"/>
      <c r="AP36" s="327"/>
      <c r="AQ36" s="327"/>
      <c r="AR36" s="328"/>
      <c r="AS36" s="329">
        <v>16.77</v>
      </c>
      <c r="AT36" s="330"/>
      <c r="AU36" s="330"/>
      <c r="AV36" s="330"/>
      <c r="AW36" s="331"/>
      <c r="AX36" s="332">
        <f t="shared" ref="AX36:AX51" si="0">AN36-(AI36*0.12/1000)</f>
        <v>18.811823999999998</v>
      </c>
      <c r="AY36" s="327"/>
      <c r="AZ36" s="327"/>
      <c r="BA36" s="327"/>
      <c r="BB36" s="328"/>
      <c r="BC36" s="329">
        <v>16.420000000000002</v>
      </c>
      <c r="BD36" s="330"/>
      <c r="BE36" s="330"/>
      <c r="BF36" s="330"/>
      <c r="BG36" s="331"/>
      <c r="BH36" s="332">
        <f t="shared" ref="BH36:BH51" si="1">AN36-(AI36*0.11/1000)</f>
        <v>18.822320000000001</v>
      </c>
      <c r="BI36" s="327"/>
      <c r="BJ36" s="327"/>
      <c r="BK36" s="327"/>
      <c r="BL36" s="328"/>
      <c r="BM36" s="329"/>
      <c r="BN36" s="330"/>
      <c r="BO36" s="330"/>
      <c r="BP36" s="330"/>
      <c r="BQ36" s="333"/>
      <c r="DQ36" s="169"/>
      <c r="DR36" s="169">
        <v>2</v>
      </c>
      <c r="DS36" s="169">
        <v>1</v>
      </c>
    </row>
    <row r="37" spans="2:123" s="31" customFormat="1" ht="21.95" customHeight="1" thickBot="1">
      <c r="B37" s="286" t="s">
        <v>45</v>
      </c>
      <c r="C37" s="287"/>
      <c r="D37" s="288"/>
      <c r="E37" s="186">
        <f>IF(AY29="x",1,IF(AY30="x",2,"-"))</f>
        <v>2</v>
      </c>
      <c r="F37" s="187"/>
      <c r="G37" s="188"/>
      <c r="H37" s="186" t="str">
        <f>IF(BN29="x",2,IF(BN30="x",2,"-"))</f>
        <v>-</v>
      </c>
      <c r="I37" s="187"/>
      <c r="J37" s="189"/>
      <c r="K37" s="222">
        <v>6801</v>
      </c>
      <c r="L37" s="223"/>
      <c r="M37" s="223"/>
      <c r="N37" s="224"/>
      <c r="O37" s="192" t="s">
        <v>165</v>
      </c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235">
        <v>2</v>
      </c>
      <c r="AC37" s="195"/>
      <c r="AD37" s="236"/>
      <c r="AE37" s="194"/>
      <c r="AF37" s="195"/>
      <c r="AG37" s="195"/>
      <c r="AH37" s="196"/>
      <c r="AI37" s="308">
        <f>AG24+AE25+AE37</f>
        <v>1049.5999999999999</v>
      </c>
      <c r="AJ37" s="308"/>
      <c r="AK37" s="308"/>
      <c r="AL37" s="308"/>
      <c r="AM37" s="309"/>
      <c r="AN37" s="295">
        <f>(K28+W30)*AI37/1000+(AN29*AN30)+IF(AI37&gt;0,1,0)+IF(AY29="x",10.5,0)+IF(BN29="x",7.1,0)+IF(AY30="x",17.1,0)+IF(BN30="x",17.1,0)</f>
        <v>18.937775999999999</v>
      </c>
      <c r="AO37" s="290"/>
      <c r="AP37" s="290"/>
      <c r="AQ37" s="290"/>
      <c r="AR37" s="291"/>
      <c r="AS37" s="292">
        <v>16.95</v>
      </c>
      <c r="AT37" s="293"/>
      <c r="AU37" s="293"/>
      <c r="AV37" s="293"/>
      <c r="AW37" s="294"/>
      <c r="AX37" s="289">
        <f t="shared" si="0"/>
        <v>18.811823999999998</v>
      </c>
      <c r="AY37" s="290"/>
      <c r="AZ37" s="290"/>
      <c r="BA37" s="290"/>
      <c r="BB37" s="291"/>
      <c r="BC37" s="292">
        <v>16.45</v>
      </c>
      <c r="BD37" s="293"/>
      <c r="BE37" s="293"/>
      <c r="BF37" s="293"/>
      <c r="BG37" s="294"/>
      <c r="BH37" s="289">
        <f t="shared" si="1"/>
        <v>18.822320000000001</v>
      </c>
      <c r="BI37" s="290"/>
      <c r="BJ37" s="290"/>
      <c r="BK37" s="290"/>
      <c r="BL37" s="291"/>
      <c r="BM37" s="292"/>
      <c r="BN37" s="293"/>
      <c r="BO37" s="293"/>
      <c r="BP37" s="293"/>
      <c r="BQ37" s="322"/>
      <c r="DQ37" s="169"/>
      <c r="DR37" s="169">
        <v>3</v>
      </c>
      <c r="DS37" s="169">
        <v>2</v>
      </c>
    </row>
    <row r="38" spans="2:123" s="31" customFormat="1" ht="21.95" customHeight="1" thickBot="1">
      <c r="B38" s="286" t="s">
        <v>46</v>
      </c>
      <c r="C38" s="287"/>
      <c r="D38" s="288"/>
      <c r="E38" s="186">
        <f>IF(AY29="x",1,IF(AY30="x",3,"-"))</f>
        <v>3</v>
      </c>
      <c r="F38" s="187"/>
      <c r="G38" s="188"/>
      <c r="H38" s="186" t="str">
        <f>IF(BN29="x",3,IF(BN30="x",3,"-"))</f>
        <v>-</v>
      </c>
      <c r="I38" s="187"/>
      <c r="J38" s="189"/>
      <c r="K38" s="222">
        <v>6802</v>
      </c>
      <c r="L38" s="223"/>
      <c r="M38" s="223"/>
      <c r="N38" s="224"/>
      <c r="O38" s="192" t="s">
        <v>166</v>
      </c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235">
        <v>1</v>
      </c>
      <c r="AC38" s="195"/>
      <c r="AD38" s="236"/>
      <c r="AE38" s="194"/>
      <c r="AF38" s="195"/>
      <c r="AG38" s="195"/>
      <c r="AH38" s="196"/>
      <c r="AI38" s="308">
        <f>AG24+AE25+AE38</f>
        <v>1049.5999999999999</v>
      </c>
      <c r="AJ38" s="308"/>
      <c r="AK38" s="308"/>
      <c r="AL38" s="308"/>
      <c r="AM38" s="309"/>
      <c r="AN38" s="295">
        <f>(K28+W30)*AI38/1000+(AN29*AN30)+IF(AI38&gt;0,1,0)+IF(AY29="x",10.5,0)+IF(BN29="x",7.1,0)+IF(AY30="x",17.1,0)+IF(BN30="x",17.1,0)</f>
        <v>18.937775999999999</v>
      </c>
      <c r="AO38" s="290"/>
      <c r="AP38" s="290"/>
      <c r="AQ38" s="290"/>
      <c r="AR38" s="291"/>
      <c r="AS38" s="292">
        <v>16.89</v>
      </c>
      <c r="AT38" s="293"/>
      <c r="AU38" s="293"/>
      <c r="AV38" s="293"/>
      <c r="AW38" s="294"/>
      <c r="AX38" s="289">
        <f t="shared" si="0"/>
        <v>18.811823999999998</v>
      </c>
      <c r="AY38" s="290"/>
      <c r="AZ38" s="290"/>
      <c r="BA38" s="290"/>
      <c r="BB38" s="291"/>
      <c r="BC38" s="292">
        <v>16.57</v>
      </c>
      <c r="BD38" s="293"/>
      <c r="BE38" s="293"/>
      <c r="BF38" s="293"/>
      <c r="BG38" s="294"/>
      <c r="BH38" s="289">
        <f t="shared" si="1"/>
        <v>18.822320000000001</v>
      </c>
      <c r="BI38" s="290"/>
      <c r="BJ38" s="290"/>
      <c r="BK38" s="290"/>
      <c r="BL38" s="291"/>
      <c r="BM38" s="292"/>
      <c r="BN38" s="293"/>
      <c r="BO38" s="293"/>
      <c r="BP38" s="293"/>
      <c r="BQ38" s="322"/>
      <c r="DQ38" s="169"/>
      <c r="DR38" s="169">
        <v>4</v>
      </c>
      <c r="DS38" s="169">
        <v>3</v>
      </c>
    </row>
    <row r="39" spans="2:123" s="31" customFormat="1" ht="21.95" customHeight="1" thickBot="1">
      <c r="B39" s="286" t="s">
        <v>47</v>
      </c>
      <c r="C39" s="287"/>
      <c r="D39" s="288"/>
      <c r="E39" s="186">
        <f>IF(AY29="x",1,IF(AY30="x",4,"-"))</f>
        <v>4</v>
      </c>
      <c r="F39" s="187"/>
      <c r="G39" s="188"/>
      <c r="H39" s="186" t="str">
        <f>IF(BN29="x",4,IF(BN30="x",4,"-"))</f>
        <v>-</v>
      </c>
      <c r="I39" s="187"/>
      <c r="J39" s="189"/>
      <c r="K39" s="222">
        <v>6803</v>
      </c>
      <c r="L39" s="223"/>
      <c r="M39" s="223"/>
      <c r="N39" s="224"/>
      <c r="O39" s="192" t="s">
        <v>168</v>
      </c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235">
        <v>1</v>
      </c>
      <c r="AC39" s="195"/>
      <c r="AD39" s="236"/>
      <c r="AE39" s="194"/>
      <c r="AF39" s="195"/>
      <c r="AG39" s="195"/>
      <c r="AH39" s="196"/>
      <c r="AI39" s="308">
        <f>AG24+AE25+AE39</f>
        <v>1049.5999999999999</v>
      </c>
      <c r="AJ39" s="308"/>
      <c r="AK39" s="308"/>
      <c r="AL39" s="308"/>
      <c r="AM39" s="309"/>
      <c r="AN39" s="295">
        <f>(K28+W30)*AI39/1000+(AN29*AN30)+IF(AI39&gt;0,1,0)+IF(AY29="x",10.5,0)+IF(BN29="x",7.1,0)+IF(AY30="x",17.1,0)+IF(BN30="x",17.1,0)</f>
        <v>18.937775999999999</v>
      </c>
      <c r="AO39" s="290"/>
      <c r="AP39" s="290"/>
      <c r="AQ39" s="290"/>
      <c r="AR39" s="291"/>
      <c r="AS39" s="292">
        <v>17.5</v>
      </c>
      <c r="AT39" s="293"/>
      <c r="AU39" s="293"/>
      <c r="AV39" s="293"/>
      <c r="AW39" s="294"/>
      <c r="AX39" s="289">
        <f t="shared" si="0"/>
        <v>18.811823999999998</v>
      </c>
      <c r="AY39" s="290"/>
      <c r="AZ39" s="290"/>
      <c r="BA39" s="290"/>
      <c r="BB39" s="291"/>
      <c r="BC39" s="292">
        <v>16.850000000000001</v>
      </c>
      <c r="BD39" s="293"/>
      <c r="BE39" s="293"/>
      <c r="BF39" s="293"/>
      <c r="BG39" s="294"/>
      <c r="BH39" s="289">
        <f t="shared" si="1"/>
        <v>18.822320000000001</v>
      </c>
      <c r="BI39" s="290"/>
      <c r="BJ39" s="290"/>
      <c r="BK39" s="290"/>
      <c r="BL39" s="291"/>
      <c r="BM39" s="292"/>
      <c r="BN39" s="293"/>
      <c r="BO39" s="293"/>
      <c r="BP39" s="293"/>
      <c r="BQ39" s="322"/>
      <c r="DQ39" s="169"/>
      <c r="DR39" s="169">
        <v>5</v>
      </c>
      <c r="DS39" s="169">
        <v>4</v>
      </c>
    </row>
    <row r="40" spans="2:123" s="31" customFormat="1" ht="21.95" customHeight="1" thickBot="1">
      <c r="B40" s="286" t="s">
        <v>48</v>
      </c>
      <c r="C40" s="287"/>
      <c r="D40" s="288"/>
      <c r="E40" s="186">
        <f>IF(AY29="x",2,IF(AY30="x",5,"-"))</f>
        <v>5</v>
      </c>
      <c r="F40" s="187"/>
      <c r="G40" s="188"/>
      <c r="H40" s="186" t="str">
        <f>IF(BN29="x",1,IF(BN30="x",5,"-"))</f>
        <v>-</v>
      </c>
      <c r="I40" s="187"/>
      <c r="J40" s="189"/>
      <c r="K40" s="222">
        <v>6803</v>
      </c>
      <c r="L40" s="223"/>
      <c r="M40" s="223"/>
      <c r="N40" s="224"/>
      <c r="O40" s="192" t="s">
        <v>168</v>
      </c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235">
        <v>2</v>
      </c>
      <c r="AC40" s="195"/>
      <c r="AD40" s="236"/>
      <c r="AE40" s="194"/>
      <c r="AF40" s="195"/>
      <c r="AG40" s="195"/>
      <c r="AH40" s="196"/>
      <c r="AI40" s="308">
        <f>AG24+AE25+AE40</f>
        <v>1049.5999999999999</v>
      </c>
      <c r="AJ40" s="308"/>
      <c r="AK40" s="308"/>
      <c r="AL40" s="308"/>
      <c r="AM40" s="309"/>
      <c r="AN40" s="295">
        <f>(K28+W30)*AI40/1000+(AN29*AN30)+IF(AI40&gt;0,1,0)+IF(AY29="x",10.5,0)+IF(BN29="x",7.1,0)+IF(AY30="x",17.1,0)+IF(BN30="x",17.1,0)</f>
        <v>18.937775999999999</v>
      </c>
      <c r="AO40" s="290"/>
      <c r="AP40" s="290"/>
      <c r="AQ40" s="290"/>
      <c r="AR40" s="291"/>
      <c r="AS40" s="292">
        <v>17.2</v>
      </c>
      <c r="AT40" s="293"/>
      <c r="AU40" s="293"/>
      <c r="AV40" s="293"/>
      <c r="AW40" s="294"/>
      <c r="AX40" s="289">
        <f t="shared" si="0"/>
        <v>18.811823999999998</v>
      </c>
      <c r="AY40" s="290"/>
      <c r="AZ40" s="290"/>
      <c r="BA40" s="290"/>
      <c r="BB40" s="291"/>
      <c r="BC40" s="292">
        <v>16.77</v>
      </c>
      <c r="BD40" s="293"/>
      <c r="BE40" s="293"/>
      <c r="BF40" s="293"/>
      <c r="BG40" s="294"/>
      <c r="BH40" s="289">
        <f t="shared" si="1"/>
        <v>18.822320000000001</v>
      </c>
      <c r="BI40" s="290"/>
      <c r="BJ40" s="290"/>
      <c r="BK40" s="290"/>
      <c r="BL40" s="291"/>
      <c r="BM40" s="292"/>
      <c r="BN40" s="293"/>
      <c r="BO40" s="293"/>
      <c r="BP40" s="293"/>
      <c r="BQ40" s="322"/>
      <c r="DQ40" s="169"/>
      <c r="DR40" s="169">
        <v>6</v>
      </c>
      <c r="DS40" s="169">
        <v>5</v>
      </c>
    </row>
    <row r="41" spans="2:123" s="31" customFormat="1" ht="21.95" customHeight="1" thickBot="1">
      <c r="B41" s="286" t="s">
        <v>49</v>
      </c>
      <c r="C41" s="287"/>
      <c r="D41" s="288"/>
      <c r="E41" s="186">
        <f>IF(AY29="x",2,IF(AY30="x",6,"-"))</f>
        <v>6</v>
      </c>
      <c r="F41" s="187"/>
      <c r="G41" s="188"/>
      <c r="H41" s="186" t="str">
        <f>IF(BN29="x",2,IF(BN30="x",6,"-"))</f>
        <v>-</v>
      </c>
      <c r="I41" s="187"/>
      <c r="J41" s="189"/>
      <c r="K41" s="222">
        <v>6803</v>
      </c>
      <c r="L41" s="223"/>
      <c r="M41" s="223"/>
      <c r="N41" s="224"/>
      <c r="O41" s="192" t="s">
        <v>168</v>
      </c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235">
        <v>3</v>
      </c>
      <c r="AC41" s="195"/>
      <c r="AD41" s="236"/>
      <c r="AE41" s="194"/>
      <c r="AF41" s="195"/>
      <c r="AG41" s="195"/>
      <c r="AH41" s="196"/>
      <c r="AI41" s="308">
        <f>AG24+AE25+AE41</f>
        <v>1049.5999999999999</v>
      </c>
      <c r="AJ41" s="308"/>
      <c r="AK41" s="308"/>
      <c r="AL41" s="308"/>
      <c r="AM41" s="309"/>
      <c r="AN41" s="295">
        <f>(K28+W30)*AI41/1000+(AN29*AN30)+IF(AI41&gt;0,1,0)+IF(AY29="x",10.5,0)+IF(BN29="x",7.1,0)+IF(AY30="x",17.1,0)+IF(BN30="x",17.1,0)</f>
        <v>18.937775999999999</v>
      </c>
      <c r="AO41" s="290"/>
      <c r="AP41" s="290"/>
      <c r="AQ41" s="290"/>
      <c r="AR41" s="291"/>
      <c r="AS41" s="292">
        <v>17.559999999999999</v>
      </c>
      <c r="AT41" s="293"/>
      <c r="AU41" s="293"/>
      <c r="AV41" s="293"/>
      <c r="AW41" s="294"/>
      <c r="AX41" s="289">
        <f t="shared" si="0"/>
        <v>18.811823999999998</v>
      </c>
      <c r="AY41" s="290"/>
      <c r="AZ41" s="290"/>
      <c r="BA41" s="290"/>
      <c r="BB41" s="291"/>
      <c r="BC41" s="292">
        <v>17.14</v>
      </c>
      <c r="BD41" s="293"/>
      <c r="BE41" s="293"/>
      <c r="BF41" s="293"/>
      <c r="BG41" s="294"/>
      <c r="BH41" s="289">
        <f t="shared" si="1"/>
        <v>18.822320000000001</v>
      </c>
      <c r="BI41" s="290"/>
      <c r="BJ41" s="290"/>
      <c r="BK41" s="290"/>
      <c r="BL41" s="291"/>
      <c r="BM41" s="292"/>
      <c r="BN41" s="293"/>
      <c r="BO41" s="293"/>
      <c r="BP41" s="293"/>
      <c r="BQ41" s="322"/>
      <c r="DQ41" s="169"/>
      <c r="DR41" s="169">
        <v>7</v>
      </c>
      <c r="DS41" s="169">
        <v>6</v>
      </c>
    </row>
    <row r="42" spans="2:123" s="31" customFormat="1" ht="21.95" customHeight="1" thickBot="1">
      <c r="B42" s="286" t="s">
        <v>50</v>
      </c>
      <c r="C42" s="287"/>
      <c r="D42" s="288"/>
      <c r="E42" s="186">
        <f>IF(AY29="x",2,IF(AY30="x",7,"-"))</f>
        <v>7</v>
      </c>
      <c r="F42" s="187"/>
      <c r="G42" s="188"/>
      <c r="H42" s="186" t="str">
        <f>IF(BN29="x",3,IF(BN30="x",7,"-"))</f>
        <v>-</v>
      </c>
      <c r="I42" s="187"/>
      <c r="J42" s="189"/>
      <c r="K42" s="222">
        <v>6804</v>
      </c>
      <c r="L42" s="223"/>
      <c r="M42" s="223"/>
      <c r="N42" s="224"/>
      <c r="O42" s="192" t="s">
        <v>182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235">
        <v>1</v>
      </c>
      <c r="AC42" s="195"/>
      <c r="AD42" s="236"/>
      <c r="AE42" s="194"/>
      <c r="AF42" s="195"/>
      <c r="AG42" s="195"/>
      <c r="AH42" s="196"/>
      <c r="AI42" s="308">
        <f>AG24+AE25+AE42</f>
        <v>1049.5999999999999</v>
      </c>
      <c r="AJ42" s="308"/>
      <c r="AK42" s="308"/>
      <c r="AL42" s="308"/>
      <c r="AM42" s="309"/>
      <c r="AN42" s="295">
        <f>(K28+W30)*AI42/1000+(AN29*AN30)+IF(AI42&gt;0,1,0)+IF(AY29="x",10.5,0)+IF(BN29="x",7.1,0)+IF(AY30="x",17.1,0)+IF(BN30="x",17.1,0)</f>
        <v>18.937775999999999</v>
      </c>
      <c r="AO42" s="290"/>
      <c r="AP42" s="290"/>
      <c r="AQ42" s="290"/>
      <c r="AR42" s="291"/>
      <c r="AS42" s="292">
        <v>19.38</v>
      </c>
      <c r="AT42" s="293"/>
      <c r="AU42" s="293"/>
      <c r="AV42" s="293"/>
      <c r="AW42" s="294"/>
      <c r="AX42" s="289">
        <f t="shared" si="0"/>
        <v>18.811823999999998</v>
      </c>
      <c r="AY42" s="290"/>
      <c r="AZ42" s="290"/>
      <c r="BA42" s="290"/>
      <c r="BB42" s="291"/>
      <c r="BC42" s="292">
        <v>19.190000000000001</v>
      </c>
      <c r="BD42" s="293"/>
      <c r="BE42" s="293"/>
      <c r="BF42" s="293"/>
      <c r="BG42" s="294"/>
      <c r="BH42" s="289">
        <f t="shared" si="1"/>
        <v>18.822320000000001</v>
      </c>
      <c r="BI42" s="290"/>
      <c r="BJ42" s="290"/>
      <c r="BK42" s="290"/>
      <c r="BL42" s="291"/>
      <c r="BM42" s="292"/>
      <c r="BN42" s="293"/>
      <c r="BO42" s="293"/>
      <c r="BP42" s="293"/>
      <c r="BQ42" s="322"/>
      <c r="DQ42" s="169"/>
      <c r="DR42" s="169">
        <v>8</v>
      </c>
      <c r="DS42" s="169">
        <v>7</v>
      </c>
    </row>
    <row r="43" spans="2:123" s="31" customFormat="1" ht="21.95" customHeight="1" thickBot="1">
      <c r="B43" s="286" t="s">
        <v>51</v>
      </c>
      <c r="C43" s="287"/>
      <c r="D43" s="288"/>
      <c r="E43" s="186">
        <f>IF(AY29="x",2,IF(AY30="x",8,"-"))</f>
        <v>8</v>
      </c>
      <c r="F43" s="187"/>
      <c r="G43" s="188"/>
      <c r="H43" s="186" t="str">
        <f>IF(BN29="x",4,IF(BN30="x",8,"-"))</f>
        <v>-</v>
      </c>
      <c r="I43" s="187"/>
      <c r="J43" s="189"/>
      <c r="K43" s="222">
        <v>6805</v>
      </c>
      <c r="L43" s="223"/>
      <c r="M43" s="223"/>
      <c r="N43" s="224"/>
      <c r="O43" s="192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235"/>
      <c r="AC43" s="195"/>
      <c r="AD43" s="236"/>
      <c r="AE43" s="194"/>
      <c r="AF43" s="195"/>
      <c r="AG43" s="195"/>
      <c r="AH43" s="196"/>
      <c r="AI43" s="308">
        <f>AG24+AE25+AE43</f>
        <v>1049.5999999999999</v>
      </c>
      <c r="AJ43" s="308"/>
      <c r="AK43" s="308"/>
      <c r="AL43" s="308"/>
      <c r="AM43" s="309"/>
      <c r="AN43" s="295">
        <f>(K28+W30)*AI43/1000+(AN29*AN30)+IF(AI43&gt;0,1,0)+IF(AY29="x",10.5,0)+IF(BN29="x",7.1,0)+IF(AY30="x",17.1,0)+IF(BN30="x",17.1,0)</f>
        <v>18.937775999999999</v>
      </c>
      <c r="AO43" s="290"/>
      <c r="AP43" s="290"/>
      <c r="AQ43" s="290"/>
      <c r="AR43" s="291"/>
      <c r="AS43" s="292"/>
      <c r="AT43" s="293"/>
      <c r="AU43" s="293"/>
      <c r="AV43" s="293"/>
      <c r="AW43" s="294"/>
      <c r="AX43" s="289">
        <f t="shared" si="0"/>
        <v>18.811823999999998</v>
      </c>
      <c r="AY43" s="290"/>
      <c r="AZ43" s="290"/>
      <c r="BA43" s="290"/>
      <c r="BB43" s="291"/>
      <c r="BC43" s="292"/>
      <c r="BD43" s="293"/>
      <c r="BE43" s="293"/>
      <c r="BF43" s="293"/>
      <c r="BG43" s="294"/>
      <c r="BH43" s="289">
        <f t="shared" si="1"/>
        <v>18.822320000000001</v>
      </c>
      <c r="BI43" s="290"/>
      <c r="BJ43" s="290"/>
      <c r="BK43" s="290"/>
      <c r="BL43" s="291"/>
      <c r="BM43" s="292"/>
      <c r="BN43" s="293"/>
      <c r="BO43" s="293"/>
      <c r="BP43" s="293"/>
      <c r="BQ43" s="322"/>
      <c r="DQ43" s="169"/>
      <c r="DR43" s="169">
        <v>11</v>
      </c>
    </row>
    <row r="44" spans="2:123" s="31" customFormat="1" ht="21.95" customHeight="1" thickBot="1">
      <c r="B44" s="286" t="s">
        <v>52</v>
      </c>
      <c r="C44" s="287"/>
      <c r="D44" s="288"/>
      <c r="E44" s="186">
        <f>IF(AY29="x",3,IF(AY30="x",9,"-"))</f>
        <v>9</v>
      </c>
      <c r="F44" s="187"/>
      <c r="G44" s="188"/>
      <c r="H44" s="186" t="str">
        <f>IF(BN29="x",1,IF(BN30="x",9,"-"))</f>
        <v>-</v>
      </c>
      <c r="I44" s="187"/>
      <c r="J44" s="189"/>
      <c r="K44" s="222">
        <v>6806</v>
      </c>
      <c r="L44" s="223"/>
      <c r="M44" s="223"/>
      <c r="N44" s="224"/>
      <c r="O44" s="192" t="s">
        <v>169</v>
      </c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235">
        <v>1</v>
      </c>
      <c r="AC44" s="195"/>
      <c r="AD44" s="236"/>
      <c r="AE44" s="194"/>
      <c r="AF44" s="195"/>
      <c r="AG44" s="195"/>
      <c r="AH44" s="196"/>
      <c r="AI44" s="308">
        <f>AG24+AE25+AE44</f>
        <v>1049.5999999999999</v>
      </c>
      <c r="AJ44" s="308"/>
      <c r="AK44" s="308"/>
      <c r="AL44" s="308"/>
      <c r="AM44" s="309"/>
      <c r="AN44" s="295">
        <f>(K28+W30)*AI44/1000+(AN29*AN30)+IF(AI44&gt;0,1,0)+IF(AY29="x",10.5,0)+IF(BN29="x",7.1,0)+IF(AY30="x",17.1,0)+IF(BN30="x",17.1,0)</f>
        <v>18.937775999999999</v>
      </c>
      <c r="AO44" s="290"/>
      <c r="AP44" s="290"/>
      <c r="AQ44" s="290"/>
      <c r="AR44" s="291"/>
      <c r="AS44" s="292">
        <v>17.47</v>
      </c>
      <c r="AT44" s="293"/>
      <c r="AU44" s="293"/>
      <c r="AV44" s="293"/>
      <c r="AW44" s="294"/>
      <c r="AX44" s="289">
        <f t="shared" si="0"/>
        <v>18.811823999999998</v>
      </c>
      <c r="AY44" s="290"/>
      <c r="AZ44" s="290"/>
      <c r="BA44" s="290"/>
      <c r="BB44" s="291"/>
      <c r="BC44" s="292">
        <v>17.04</v>
      </c>
      <c r="BD44" s="293"/>
      <c r="BE44" s="293"/>
      <c r="BF44" s="293"/>
      <c r="BG44" s="294"/>
      <c r="BH44" s="289">
        <f t="shared" si="1"/>
        <v>18.822320000000001</v>
      </c>
      <c r="BI44" s="290"/>
      <c r="BJ44" s="290"/>
      <c r="BK44" s="290"/>
      <c r="BL44" s="291"/>
      <c r="BM44" s="292"/>
      <c r="BN44" s="293"/>
      <c r="BO44" s="293"/>
      <c r="BP44" s="293"/>
      <c r="BQ44" s="322"/>
      <c r="DQ44" s="169"/>
      <c r="DR44" s="169">
        <v>12</v>
      </c>
    </row>
    <row r="45" spans="2:123" s="31" customFormat="1" ht="21.95" customHeight="1" thickBot="1">
      <c r="B45" s="286" t="s">
        <v>53</v>
      </c>
      <c r="C45" s="287"/>
      <c r="D45" s="288"/>
      <c r="E45" s="186">
        <f>IF(AY29="x",3,IF(AY30="x",10,"-"))</f>
        <v>10</v>
      </c>
      <c r="F45" s="187"/>
      <c r="G45" s="188"/>
      <c r="H45" s="186" t="str">
        <f>IF(BN29="x",2,IF(BN30="x",10,"-"))</f>
        <v>-</v>
      </c>
      <c r="I45" s="187"/>
      <c r="J45" s="189"/>
      <c r="K45" s="222">
        <v>6806</v>
      </c>
      <c r="L45" s="223"/>
      <c r="M45" s="223"/>
      <c r="N45" s="224"/>
      <c r="O45" s="192" t="s">
        <v>169</v>
      </c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235">
        <v>2</v>
      </c>
      <c r="AC45" s="195"/>
      <c r="AD45" s="236"/>
      <c r="AE45" s="194"/>
      <c r="AF45" s="195"/>
      <c r="AG45" s="195"/>
      <c r="AH45" s="196"/>
      <c r="AI45" s="308">
        <f>AG24+AE25+AE45</f>
        <v>1049.5999999999999</v>
      </c>
      <c r="AJ45" s="308"/>
      <c r="AK45" s="308"/>
      <c r="AL45" s="308"/>
      <c r="AM45" s="309"/>
      <c r="AN45" s="295">
        <f>(K28+W30)*AI45/1000+(AN29*AN30)+IF(AI45&gt;0,1,0)+IF(AY29="x",10.5,0)+IF(BN29="x",7.1,0)+IF(AY30="x",17.1,0)+IF(BN30="x",17.1,0)</f>
        <v>18.937775999999999</v>
      </c>
      <c r="AO45" s="290"/>
      <c r="AP45" s="290"/>
      <c r="AQ45" s="290"/>
      <c r="AR45" s="291"/>
      <c r="AS45" s="292"/>
      <c r="AT45" s="293"/>
      <c r="AU45" s="293"/>
      <c r="AV45" s="293"/>
      <c r="AW45" s="294"/>
      <c r="AX45" s="289">
        <f t="shared" si="0"/>
        <v>18.811823999999998</v>
      </c>
      <c r="AY45" s="290"/>
      <c r="AZ45" s="290"/>
      <c r="BA45" s="290"/>
      <c r="BB45" s="291"/>
      <c r="BC45" s="292"/>
      <c r="BD45" s="293"/>
      <c r="BE45" s="293"/>
      <c r="BF45" s="293"/>
      <c r="BG45" s="294"/>
      <c r="BH45" s="289">
        <f t="shared" si="1"/>
        <v>18.822320000000001</v>
      </c>
      <c r="BI45" s="290"/>
      <c r="BJ45" s="290"/>
      <c r="BK45" s="290"/>
      <c r="BL45" s="291"/>
      <c r="BM45" s="292"/>
      <c r="BN45" s="293"/>
      <c r="BO45" s="293"/>
      <c r="BP45" s="293"/>
      <c r="BQ45" s="322"/>
      <c r="DQ45" s="169"/>
      <c r="DR45" s="169">
        <v>13</v>
      </c>
    </row>
    <row r="46" spans="2:123" s="31" customFormat="1" ht="21.95" customHeight="1" thickBot="1">
      <c r="B46" s="286" t="s">
        <v>54</v>
      </c>
      <c r="C46" s="287"/>
      <c r="D46" s="288"/>
      <c r="E46" s="186">
        <f>IF(AY29="x",3,IF(AY30="x",11,"-"))</f>
        <v>11</v>
      </c>
      <c r="F46" s="187"/>
      <c r="G46" s="188"/>
      <c r="H46" s="186" t="str">
        <f>IF(BN29="x",3,IF(BN30="x",11,"-"))</f>
        <v>-</v>
      </c>
      <c r="I46" s="187"/>
      <c r="J46" s="189"/>
      <c r="K46" s="222">
        <v>6807</v>
      </c>
      <c r="L46" s="223"/>
      <c r="M46" s="223"/>
      <c r="N46" s="224"/>
      <c r="O46" s="192" t="s">
        <v>170</v>
      </c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235">
        <v>1</v>
      </c>
      <c r="AC46" s="195"/>
      <c r="AD46" s="236"/>
      <c r="AE46" s="194"/>
      <c r="AF46" s="195"/>
      <c r="AG46" s="195"/>
      <c r="AH46" s="196"/>
      <c r="AI46" s="308">
        <f>AG24+AE25+AE46</f>
        <v>1049.5999999999999</v>
      </c>
      <c r="AJ46" s="308"/>
      <c r="AK46" s="308"/>
      <c r="AL46" s="308"/>
      <c r="AM46" s="309"/>
      <c r="AN46" s="295">
        <f>(K28+W30)*AI46/1000+(AN29*AN30)+IF(AI46&gt;0,1,0)+IF(AY29="x",10.5,0)+IF(BN29="x",7.1,0)+IF(AY30="x",17.1,0)+IF(BN30="x",17.1,0)</f>
        <v>18.937775999999999</v>
      </c>
      <c r="AO46" s="290"/>
      <c r="AP46" s="290"/>
      <c r="AQ46" s="290"/>
      <c r="AR46" s="291"/>
      <c r="AS46" s="292">
        <v>16.559999999999999</v>
      </c>
      <c r="AT46" s="293"/>
      <c r="AU46" s="293"/>
      <c r="AV46" s="293"/>
      <c r="AW46" s="294"/>
      <c r="AX46" s="289">
        <f t="shared" si="0"/>
        <v>18.811823999999998</v>
      </c>
      <c r="AY46" s="290"/>
      <c r="AZ46" s="290"/>
      <c r="BA46" s="290"/>
      <c r="BB46" s="291"/>
      <c r="BC46" s="292">
        <v>16.149999999999999</v>
      </c>
      <c r="BD46" s="293"/>
      <c r="BE46" s="293"/>
      <c r="BF46" s="293"/>
      <c r="BG46" s="294"/>
      <c r="BH46" s="289">
        <f t="shared" si="1"/>
        <v>18.822320000000001</v>
      </c>
      <c r="BI46" s="290"/>
      <c r="BJ46" s="290"/>
      <c r="BK46" s="290"/>
      <c r="BL46" s="291"/>
      <c r="BM46" s="292"/>
      <c r="BN46" s="293"/>
      <c r="BO46" s="293"/>
      <c r="BP46" s="293"/>
      <c r="BQ46" s="322"/>
      <c r="DQ46" s="169"/>
      <c r="DR46" s="169">
        <v>14</v>
      </c>
    </row>
    <row r="47" spans="2:123" s="31" customFormat="1" ht="21.95" customHeight="1" thickBot="1">
      <c r="B47" s="286" t="s">
        <v>55</v>
      </c>
      <c r="C47" s="287"/>
      <c r="D47" s="288"/>
      <c r="E47" s="186">
        <f>IF(AY29="x",3,IF(AY30="x",12,"-"))</f>
        <v>12</v>
      </c>
      <c r="F47" s="187"/>
      <c r="G47" s="188"/>
      <c r="H47" s="186" t="str">
        <f>IF(BN29="x",4,IF(BN30="x",12,"-"))</f>
        <v>-</v>
      </c>
      <c r="I47" s="187"/>
      <c r="J47" s="189"/>
      <c r="K47" s="222">
        <v>6808</v>
      </c>
      <c r="L47" s="223"/>
      <c r="M47" s="223"/>
      <c r="N47" s="224"/>
      <c r="O47" s="192" t="s">
        <v>167</v>
      </c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235">
        <v>1</v>
      </c>
      <c r="AC47" s="195"/>
      <c r="AD47" s="236"/>
      <c r="AE47" s="194"/>
      <c r="AF47" s="195"/>
      <c r="AG47" s="195"/>
      <c r="AH47" s="196"/>
      <c r="AI47" s="308">
        <f>AG24+AE25+AE47</f>
        <v>1049.5999999999999</v>
      </c>
      <c r="AJ47" s="308"/>
      <c r="AK47" s="308"/>
      <c r="AL47" s="308"/>
      <c r="AM47" s="309"/>
      <c r="AN47" s="295">
        <f>(K28+W30)*AI47/1000+(AN29*AN30)+IF(AI47&gt;0,1,0)+IF(AY29="x",10.5,0)+IF(BN29="x",7.1,0)+IF(AY30="x",17.1,0)+IF(BN30="x",17.1,0)</f>
        <v>18.937775999999999</v>
      </c>
      <c r="AO47" s="290"/>
      <c r="AP47" s="290"/>
      <c r="AQ47" s="290"/>
      <c r="AR47" s="291"/>
      <c r="AS47" s="292">
        <v>17.190000000000001</v>
      </c>
      <c r="AT47" s="293"/>
      <c r="AU47" s="293"/>
      <c r="AV47" s="293"/>
      <c r="AW47" s="294"/>
      <c r="AX47" s="289">
        <f t="shared" si="0"/>
        <v>18.811823999999998</v>
      </c>
      <c r="AY47" s="290"/>
      <c r="AZ47" s="290"/>
      <c r="BA47" s="290"/>
      <c r="BB47" s="291"/>
      <c r="BC47" s="292">
        <v>16.829999999999998</v>
      </c>
      <c r="BD47" s="293"/>
      <c r="BE47" s="293"/>
      <c r="BF47" s="293"/>
      <c r="BG47" s="294"/>
      <c r="BH47" s="289">
        <f t="shared" si="1"/>
        <v>18.822320000000001</v>
      </c>
      <c r="BI47" s="290"/>
      <c r="BJ47" s="290"/>
      <c r="BK47" s="290"/>
      <c r="BL47" s="291"/>
      <c r="BM47" s="292"/>
      <c r="BN47" s="293"/>
      <c r="BO47" s="293"/>
      <c r="BP47" s="293"/>
      <c r="BQ47" s="322"/>
      <c r="DQ47" s="169"/>
      <c r="DR47" s="169">
        <v>15</v>
      </c>
    </row>
    <row r="48" spans="2:123" s="31" customFormat="1" ht="21.95" customHeight="1" thickBot="1">
      <c r="B48" s="286" t="s">
        <v>56</v>
      </c>
      <c r="C48" s="287"/>
      <c r="D48" s="288"/>
      <c r="E48" s="186">
        <f>IF(AY29="x",4,IF(AY30="x",13,"-"))</f>
        <v>13</v>
      </c>
      <c r="F48" s="187"/>
      <c r="G48" s="188"/>
      <c r="H48" s="186" t="str">
        <f>IF(BN29="x",1,IF(BN30="x",13,"-"))</f>
        <v>-</v>
      </c>
      <c r="I48" s="187"/>
      <c r="J48" s="189"/>
      <c r="K48" s="222">
        <v>6808</v>
      </c>
      <c r="L48" s="223"/>
      <c r="M48" s="223"/>
      <c r="N48" s="224"/>
      <c r="O48" s="192" t="s">
        <v>167</v>
      </c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235">
        <v>2</v>
      </c>
      <c r="AC48" s="195"/>
      <c r="AD48" s="236"/>
      <c r="AE48" s="194"/>
      <c r="AF48" s="195"/>
      <c r="AG48" s="195"/>
      <c r="AH48" s="196"/>
      <c r="AI48" s="308">
        <f>AG24+AE25+AE48</f>
        <v>1049.5999999999999</v>
      </c>
      <c r="AJ48" s="308"/>
      <c r="AK48" s="308"/>
      <c r="AL48" s="308"/>
      <c r="AM48" s="309"/>
      <c r="AN48" s="295">
        <f>(K28+W30)*AI48/1000+(AN29*AN30)+IF(AI48&gt;0,1,0)+IF(AY29="x",10.5,0)+IF(BN29="x",7.1,0)+IF(AY30="x",17.1,0)+IF(BN30="x",17.1,0)</f>
        <v>18.937775999999999</v>
      </c>
      <c r="AO48" s="290"/>
      <c r="AP48" s="290"/>
      <c r="AQ48" s="290"/>
      <c r="AR48" s="291"/>
      <c r="AS48" s="292">
        <v>16.91</v>
      </c>
      <c r="AT48" s="293"/>
      <c r="AU48" s="293"/>
      <c r="AV48" s="293"/>
      <c r="AW48" s="294"/>
      <c r="AX48" s="289">
        <f t="shared" si="0"/>
        <v>18.811823999999998</v>
      </c>
      <c r="AY48" s="290"/>
      <c r="AZ48" s="290"/>
      <c r="BA48" s="290"/>
      <c r="BB48" s="291"/>
      <c r="BC48" s="292">
        <v>16.579999999999998</v>
      </c>
      <c r="BD48" s="293"/>
      <c r="BE48" s="293"/>
      <c r="BF48" s="293"/>
      <c r="BG48" s="294"/>
      <c r="BH48" s="289">
        <f t="shared" si="1"/>
        <v>18.822320000000001</v>
      </c>
      <c r="BI48" s="290"/>
      <c r="BJ48" s="290"/>
      <c r="BK48" s="290"/>
      <c r="BL48" s="291"/>
      <c r="BM48" s="292"/>
      <c r="BN48" s="293"/>
      <c r="BO48" s="293"/>
      <c r="BP48" s="293"/>
      <c r="BQ48" s="322"/>
      <c r="DQ48" s="169"/>
      <c r="DR48" s="169">
        <v>16</v>
      </c>
    </row>
    <row r="49" spans="2:122" s="31" customFormat="1" ht="21.95" customHeight="1" thickBot="1">
      <c r="B49" s="286" t="s">
        <v>57</v>
      </c>
      <c r="C49" s="287"/>
      <c r="D49" s="288"/>
      <c r="E49" s="186">
        <f>IF(AY29="x",4,IF(AY30="x",14,"-"))</f>
        <v>14</v>
      </c>
      <c r="F49" s="187"/>
      <c r="G49" s="188"/>
      <c r="H49" s="186" t="str">
        <f>IF(BN29="x",2,IF(BN30="x",14,"-"))</f>
        <v>-</v>
      </c>
      <c r="I49" s="187"/>
      <c r="J49" s="189"/>
      <c r="K49" s="222">
        <v>6808</v>
      </c>
      <c r="L49" s="223"/>
      <c r="M49" s="223"/>
      <c r="N49" s="224"/>
      <c r="O49" s="192" t="s">
        <v>167</v>
      </c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235">
        <v>3</v>
      </c>
      <c r="AC49" s="195"/>
      <c r="AD49" s="236"/>
      <c r="AE49" s="194"/>
      <c r="AF49" s="195"/>
      <c r="AG49" s="195"/>
      <c r="AH49" s="196"/>
      <c r="AI49" s="308">
        <f>AG24+AE25+AE49</f>
        <v>1049.5999999999999</v>
      </c>
      <c r="AJ49" s="308"/>
      <c r="AK49" s="308"/>
      <c r="AL49" s="308"/>
      <c r="AM49" s="309"/>
      <c r="AN49" s="295">
        <f>(K28+W30)*AI49/1000+(AN29*AN30)+IF(AI49&gt;0,1,0)+IF(AY29="x",10.5,0)+IF(BN29="x",7.1,0)+IF(AY30="x",17.1,0)+IF(BN30="x",17.1,0)</f>
        <v>18.937775999999999</v>
      </c>
      <c r="AO49" s="290"/>
      <c r="AP49" s="290"/>
      <c r="AQ49" s="290"/>
      <c r="AR49" s="291"/>
      <c r="AS49" s="292">
        <v>16.86</v>
      </c>
      <c r="AT49" s="293"/>
      <c r="AU49" s="293"/>
      <c r="AV49" s="293"/>
      <c r="AW49" s="294"/>
      <c r="AX49" s="289">
        <f t="shared" si="0"/>
        <v>18.811823999999998</v>
      </c>
      <c r="AY49" s="290"/>
      <c r="AZ49" s="290"/>
      <c r="BA49" s="290"/>
      <c r="BB49" s="291"/>
      <c r="BC49" s="292">
        <v>16.79</v>
      </c>
      <c r="BD49" s="293"/>
      <c r="BE49" s="293"/>
      <c r="BF49" s="293"/>
      <c r="BG49" s="294"/>
      <c r="BH49" s="289">
        <f t="shared" si="1"/>
        <v>18.822320000000001</v>
      </c>
      <c r="BI49" s="290"/>
      <c r="BJ49" s="290"/>
      <c r="BK49" s="290"/>
      <c r="BL49" s="291"/>
      <c r="BM49" s="292"/>
      <c r="BN49" s="293"/>
      <c r="BO49" s="293"/>
      <c r="BP49" s="293"/>
      <c r="BQ49" s="322"/>
      <c r="DQ49" s="169"/>
      <c r="DR49" s="169">
        <v>17</v>
      </c>
    </row>
    <row r="50" spans="2:122" s="31" customFormat="1" ht="21.95" customHeight="1" thickBot="1">
      <c r="B50" s="286" t="s">
        <v>58</v>
      </c>
      <c r="C50" s="287"/>
      <c r="D50" s="288"/>
      <c r="E50" s="186">
        <f>IF(AY29="x",4,IF(AY30="x",15,"-"))</f>
        <v>15</v>
      </c>
      <c r="F50" s="187"/>
      <c r="G50" s="188"/>
      <c r="H50" s="186" t="str">
        <f>IF(BN29="x",3,IF(BN30="x",15,"-"))</f>
        <v>-</v>
      </c>
      <c r="I50" s="187"/>
      <c r="J50" s="189"/>
      <c r="K50" s="222">
        <v>6809</v>
      </c>
      <c r="L50" s="223"/>
      <c r="M50" s="223"/>
      <c r="N50" s="224"/>
      <c r="O50" s="192" t="s">
        <v>171</v>
      </c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235">
        <v>1</v>
      </c>
      <c r="AC50" s="195"/>
      <c r="AD50" s="236"/>
      <c r="AE50" s="194"/>
      <c r="AF50" s="195"/>
      <c r="AG50" s="195"/>
      <c r="AH50" s="196"/>
      <c r="AI50" s="308">
        <f>AG24+AE25+AE50</f>
        <v>1049.5999999999999</v>
      </c>
      <c r="AJ50" s="308"/>
      <c r="AK50" s="308"/>
      <c r="AL50" s="308"/>
      <c r="AM50" s="309"/>
      <c r="AN50" s="295">
        <f>(K28+W30)*AI50/1000+(AN29*AN30)+IF(AI50&gt;0,1,0)+IF(AY29="x",10.5,0)+IF(BN29="x",7.1,0)+IF(AY30="x",17.1,0)+IF(BN30="x",17.1,0)</f>
        <v>18.937775999999999</v>
      </c>
      <c r="AO50" s="290"/>
      <c r="AP50" s="290"/>
      <c r="AQ50" s="290"/>
      <c r="AR50" s="291"/>
      <c r="AS50" s="292">
        <v>16.440000000000001</v>
      </c>
      <c r="AT50" s="293"/>
      <c r="AU50" s="293"/>
      <c r="AV50" s="293"/>
      <c r="AW50" s="294"/>
      <c r="AX50" s="289">
        <f t="shared" si="0"/>
        <v>18.811823999999998</v>
      </c>
      <c r="AY50" s="290"/>
      <c r="AZ50" s="290"/>
      <c r="BA50" s="290"/>
      <c r="BB50" s="291"/>
      <c r="BC50" s="292">
        <v>16.079999999999998</v>
      </c>
      <c r="BD50" s="293"/>
      <c r="BE50" s="293"/>
      <c r="BF50" s="293"/>
      <c r="BG50" s="294"/>
      <c r="BH50" s="289">
        <f t="shared" si="1"/>
        <v>18.822320000000001</v>
      </c>
      <c r="BI50" s="290"/>
      <c r="BJ50" s="290"/>
      <c r="BK50" s="290"/>
      <c r="BL50" s="291"/>
      <c r="BM50" s="292"/>
      <c r="BN50" s="293"/>
      <c r="BO50" s="293"/>
      <c r="BP50" s="293"/>
      <c r="BQ50" s="322"/>
      <c r="DQ50" s="168"/>
      <c r="DR50" s="169">
        <v>18</v>
      </c>
    </row>
    <row r="51" spans="2:122" s="31" customFormat="1" ht="21.95" customHeight="1" thickBot="1">
      <c r="B51" s="305" t="s">
        <v>59</v>
      </c>
      <c r="C51" s="306"/>
      <c r="D51" s="307"/>
      <c r="E51" s="225">
        <f>IF(AY29="x",4,IF(AY30="x",16,"-"))</f>
        <v>16</v>
      </c>
      <c r="F51" s="226"/>
      <c r="G51" s="227"/>
      <c r="H51" s="225" t="str">
        <f>IF(BN29="x",4,IF(BN30="x",16,"-"))</f>
        <v>-</v>
      </c>
      <c r="I51" s="226"/>
      <c r="J51" s="228"/>
      <c r="K51" s="222">
        <v>6810</v>
      </c>
      <c r="L51" s="223"/>
      <c r="M51" s="223"/>
      <c r="N51" s="224"/>
      <c r="O51" s="317" t="s">
        <v>172</v>
      </c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2">
        <v>1</v>
      </c>
      <c r="AC51" s="313"/>
      <c r="AD51" s="314"/>
      <c r="AE51" s="315"/>
      <c r="AF51" s="313"/>
      <c r="AG51" s="313"/>
      <c r="AH51" s="316"/>
      <c r="AI51" s="310">
        <f>AG24+AE25+AE51</f>
        <v>1049.5999999999999</v>
      </c>
      <c r="AJ51" s="310"/>
      <c r="AK51" s="310"/>
      <c r="AL51" s="310"/>
      <c r="AM51" s="311"/>
      <c r="AN51" s="302">
        <f>(K28+W30)*AI51/1000+(AN29*AN30)+IF(AI51&gt;0,1,0)+IF(AY29="x",10.5,0)+IF(BN29="x",7.1,0)+IF(AY30="x",17.1,0)+IF(BN30="x",17.1,0)</f>
        <v>18.937775999999999</v>
      </c>
      <c r="AO51" s="303"/>
      <c r="AP51" s="303"/>
      <c r="AQ51" s="303"/>
      <c r="AR51" s="304"/>
      <c r="AS51" s="336">
        <v>18.82</v>
      </c>
      <c r="AT51" s="337"/>
      <c r="AU51" s="337"/>
      <c r="AV51" s="337"/>
      <c r="AW51" s="339"/>
      <c r="AX51" s="340">
        <f t="shared" si="0"/>
        <v>18.811823999999998</v>
      </c>
      <c r="AY51" s="303"/>
      <c r="AZ51" s="303"/>
      <c r="BA51" s="303"/>
      <c r="BB51" s="304"/>
      <c r="BC51" s="336">
        <v>18.07</v>
      </c>
      <c r="BD51" s="337"/>
      <c r="BE51" s="337"/>
      <c r="BF51" s="337"/>
      <c r="BG51" s="339"/>
      <c r="BH51" s="340">
        <f t="shared" si="1"/>
        <v>18.822320000000001</v>
      </c>
      <c r="BI51" s="303"/>
      <c r="BJ51" s="303"/>
      <c r="BK51" s="303"/>
      <c r="BL51" s="304"/>
      <c r="BM51" s="336"/>
      <c r="BN51" s="337"/>
      <c r="BO51" s="337"/>
      <c r="BP51" s="337"/>
      <c r="BQ51" s="338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319" t="s">
        <v>38</v>
      </c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1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96" t="s">
        <v>39</v>
      </c>
      <c r="C59" s="297"/>
      <c r="D59" s="297"/>
      <c r="E59" s="297"/>
      <c r="F59" s="297"/>
      <c r="G59" s="28"/>
      <c r="H59" s="298" t="s">
        <v>161</v>
      </c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9"/>
      <c r="U59" s="300" t="s">
        <v>40</v>
      </c>
      <c r="V59" s="297"/>
      <c r="W59" s="297"/>
      <c r="X59" s="297"/>
      <c r="Y59" s="29"/>
      <c r="Z59" s="301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300" t="s">
        <v>41</v>
      </c>
      <c r="AL59" s="297"/>
      <c r="AM59" s="297"/>
      <c r="AN59" s="297"/>
      <c r="AO59" s="297"/>
      <c r="AP59" s="297"/>
      <c r="AQ59" s="297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96"/>
      <c r="C60" s="297"/>
      <c r="D60" s="297"/>
      <c r="E60" s="297"/>
      <c r="F60" s="297"/>
      <c r="G60" s="2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9"/>
      <c r="U60" s="300"/>
      <c r="V60" s="297"/>
      <c r="W60" s="297"/>
      <c r="X60" s="297"/>
      <c r="Y60" s="29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9"/>
      <c r="AK60" s="300"/>
      <c r="AL60" s="297"/>
      <c r="AM60" s="297"/>
      <c r="AN60" s="297"/>
      <c r="AO60" s="297"/>
      <c r="AP60" s="297"/>
      <c r="AQ60" s="297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323" t="s">
        <v>131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324"/>
      <c r="BQ62" s="325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>
      <formula1>$DS$35:$DS$42</formula1>
    </dataValidation>
    <dataValidation type="list" allowBlank="1" showInputMessage="1" showErrorMessage="1" sqref="AI11:AK11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Z62"/>
  <sheetViews>
    <sheetView showGridLines="0" showRowColHeaders="0" tabSelected="1" topLeftCell="A22" workbookViewId="0">
      <selection activeCell="AB38" sqref="AB38:AD38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49" t="s">
        <v>117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17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61" t="str">
        <f>'Abnahme_GPON_1-16'!D7:AL7</f>
        <v>NVT_V1068_38327_004_FTTH_HK_4R_14 UL_Ost1_MBfD</v>
      </c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19"/>
      <c r="AN7" s="19"/>
      <c r="AO7" s="19"/>
      <c r="AP7" s="19"/>
      <c r="AQ7" s="19"/>
      <c r="AR7" s="358" t="str">
        <f>'Abnahme_GPON_1-16'!AR7:BE7</f>
        <v>203519978</v>
      </c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19"/>
      <c r="BH7" s="18"/>
      <c r="BI7" s="359">
        <v>2</v>
      </c>
      <c r="BJ7" s="359"/>
      <c r="BK7" s="362" t="s">
        <v>5</v>
      </c>
      <c r="BL7" s="362"/>
      <c r="BM7" s="362"/>
      <c r="BN7" s="359">
        <v>2</v>
      </c>
      <c r="BO7" s="359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30">
        <f>'Abnahme_GPON_1-16'!$X$11</f>
        <v>0</v>
      </c>
      <c r="Y11" s="230"/>
      <c r="Z11" s="230"/>
      <c r="AA11" s="230"/>
      <c r="AB11" s="230"/>
      <c r="AC11" s="217"/>
      <c r="AD11" s="217"/>
      <c r="AE11" s="191" t="s">
        <v>158</v>
      </c>
      <c r="AF11" s="191"/>
      <c r="AG11" s="191"/>
      <c r="AH11" s="191"/>
      <c r="AI11" s="360">
        <f>'Abnahme_GPON_1-16'!$AI$11</f>
        <v>0</v>
      </c>
      <c r="AJ11" s="360"/>
      <c r="AK11" s="360"/>
      <c r="AL11" s="65"/>
      <c r="AM11" s="66"/>
      <c r="AN11" s="191" t="s">
        <v>71</v>
      </c>
      <c r="AO11" s="191"/>
      <c r="AP11" s="191"/>
      <c r="AQ11" s="191"/>
      <c r="AR11" s="360">
        <f>'Abnahme_GPON_1-16'!$AR$11</f>
        <v>0</v>
      </c>
      <c r="AS11" s="360"/>
      <c r="AT11" s="360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'Abnahme_GPON_1-16'!$BC$11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230" t="str">
        <f>'Abnahme_GPON_1-16'!$X$13</f>
        <v>4R14</v>
      </c>
      <c r="Y13" s="230"/>
      <c r="Z13" s="230"/>
      <c r="AA13" s="230"/>
      <c r="AB13" s="230"/>
      <c r="AC13" s="66"/>
      <c r="AD13" s="66"/>
      <c r="AE13" s="63" t="s">
        <v>37</v>
      </c>
      <c r="AF13" s="65"/>
      <c r="AG13" s="65"/>
      <c r="AH13" s="66"/>
      <c r="AI13" s="230">
        <f>'Abnahme_GPON_1-16'!$AI$13</f>
        <v>13</v>
      </c>
      <c r="AJ13" s="230"/>
      <c r="AK13" s="230"/>
      <c r="AL13" s="66"/>
      <c r="AM13" s="66"/>
      <c r="AN13" s="363" t="s">
        <v>87</v>
      </c>
      <c r="AO13" s="363"/>
      <c r="AP13" s="363"/>
      <c r="AQ13" s="68" t="s">
        <v>66</v>
      </c>
      <c r="AR13" s="230">
        <f>'Abnahme_GPON_1-16'!$AR$13</f>
        <v>1068</v>
      </c>
      <c r="AS13" s="230"/>
      <c r="AT13" s="230"/>
      <c r="AU13" s="66"/>
      <c r="AV13" s="66"/>
      <c r="AW13" s="66"/>
      <c r="AX13" s="200" t="s">
        <v>88</v>
      </c>
      <c r="AY13" s="200"/>
      <c r="AZ13" s="200"/>
      <c r="BA13" s="200"/>
      <c r="BB13" s="200"/>
      <c r="BC13" s="230">
        <f>'Abnahme_GPON_1-16'!$BC$13</f>
        <v>1</v>
      </c>
      <c r="BD13" s="230"/>
      <c r="BE13" s="230"/>
      <c r="BF13" s="230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45" t="str">
        <f>'Abnahme_GPON_1-16'!S18:AB18</f>
        <v>ORL 55/85</v>
      </c>
      <c r="T18" s="345"/>
      <c r="U18" s="345"/>
      <c r="V18" s="345"/>
      <c r="W18" s="345"/>
      <c r="X18" s="345"/>
      <c r="Y18" s="345"/>
      <c r="Z18" s="345"/>
      <c r="AA18" s="345"/>
      <c r="AB18" s="345"/>
      <c r="AC18" s="64"/>
      <c r="AD18" s="64"/>
      <c r="AE18" s="78" t="s">
        <v>35</v>
      </c>
      <c r="AF18" s="62"/>
      <c r="AG18" s="64"/>
      <c r="AH18" s="64"/>
      <c r="AI18" s="64"/>
      <c r="AJ18" s="64"/>
      <c r="AK18" s="351">
        <f>'Abnahme_GPON_1-16'!AK18:AS18</f>
        <v>0</v>
      </c>
      <c r="AL18" s="351"/>
      <c r="AM18" s="351"/>
      <c r="AN18" s="351"/>
      <c r="AO18" s="351"/>
      <c r="AP18" s="351"/>
      <c r="AQ18" s="351"/>
      <c r="AR18" s="351"/>
      <c r="AS18" s="351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51">
        <f>'Abnahme_GPON_1-16'!BC18:BM18</f>
        <v>0</v>
      </c>
      <c r="BD18" s="351"/>
      <c r="BE18" s="351"/>
      <c r="BF18" s="351"/>
      <c r="BG18" s="351"/>
      <c r="BH18" s="351"/>
      <c r="BI18" s="351"/>
      <c r="BJ18" s="351"/>
      <c r="BK18" s="351"/>
      <c r="BL18" s="351"/>
      <c r="BM18" s="351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45" t="str">
        <f>'Abnahme_GPON_1-16'!S20:AB20</f>
        <v>OLP 55/85 S</v>
      </c>
      <c r="T20" s="345"/>
      <c r="U20" s="345"/>
      <c r="V20" s="345"/>
      <c r="W20" s="345"/>
      <c r="X20" s="345"/>
      <c r="Y20" s="345"/>
      <c r="Z20" s="345"/>
      <c r="AA20" s="345"/>
      <c r="AB20" s="345"/>
      <c r="AC20" s="64"/>
      <c r="AD20" s="64"/>
      <c r="AE20" s="78" t="s">
        <v>35</v>
      </c>
      <c r="AF20" s="62"/>
      <c r="AG20" s="64"/>
      <c r="AH20" s="64"/>
      <c r="AI20" s="64"/>
      <c r="AJ20" s="64"/>
      <c r="AK20" s="351">
        <f>'Abnahme_GPON_1-16'!AK20:AS20</f>
        <v>0</v>
      </c>
      <c r="AL20" s="351"/>
      <c r="AM20" s="351"/>
      <c r="AN20" s="351"/>
      <c r="AO20" s="351"/>
      <c r="AP20" s="351"/>
      <c r="AQ20" s="351"/>
      <c r="AR20" s="351"/>
      <c r="AS20" s="351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51">
        <f>'Abnahme_GPON_1-16'!BC20:BM20</f>
        <v>0</v>
      </c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64">
        <f>'Abnahme_GPON_1-16'!AG24:AI24</f>
        <v>0</v>
      </c>
      <c r="AH24" s="365"/>
      <c r="AI24" s="366"/>
      <c r="AJ24" s="200" t="s">
        <v>137</v>
      </c>
      <c r="AK24" s="201"/>
      <c r="AL24" s="275" t="s">
        <v>134</v>
      </c>
      <c r="AM24" s="229"/>
      <c r="AN24" s="229"/>
      <c r="AO24" s="229"/>
      <c r="AP24" s="229"/>
      <c r="AQ24" s="229"/>
      <c r="AR24" s="276"/>
      <c r="AS24" s="283" t="s">
        <v>64</v>
      </c>
      <c r="AT24" s="284"/>
      <c r="AU24" s="284"/>
      <c r="AV24" s="284"/>
      <c r="AW24" s="284"/>
      <c r="AX24" s="284"/>
      <c r="AY24" s="284"/>
      <c r="AZ24" s="284"/>
      <c r="BA24" s="284"/>
      <c r="BB24" s="284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74">
        <f>'Abnahme_GPON_1-16'!AE25:AI25</f>
        <v>1049.5999999999999</v>
      </c>
      <c r="AF25" s="375"/>
      <c r="AG25" s="375"/>
      <c r="AH25" s="375"/>
      <c r="AI25" s="376"/>
      <c r="AJ25" s="200" t="s">
        <v>137</v>
      </c>
      <c r="AK25" s="201"/>
      <c r="AL25" s="272" t="s">
        <v>135</v>
      </c>
      <c r="AM25" s="273"/>
      <c r="AN25" s="273"/>
      <c r="AO25" s="273"/>
      <c r="AP25" s="273"/>
      <c r="AQ25" s="273"/>
      <c r="AR25" s="274"/>
      <c r="AS25" s="285" t="s">
        <v>128</v>
      </c>
      <c r="AT25" s="266"/>
      <c r="AU25" s="266"/>
      <c r="AV25" s="266"/>
      <c r="AW25" s="266"/>
      <c r="AX25" s="266"/>
      <c r="AY25" s="266"/>
      <c r="AZ25" s="266"/>
      <c r="BA25" s="266" t="s">
        <v>129</v>
      </c>
      <c r="BB25" s="266"/>
      <c r="BC25" s="266"/>
      <c r="BD25" s="266"/>
      <c r="BE25" s="266"/>
      <c r="BF25" s="266"/>
      <c r="BG25" s="266"/>
      <c r="BH25" s="266"/>
      <c r="BI25" s="266" t="s">
        <v>130</v>
      </c>
      <c r="BJ25" s="266"/>
      <c r="BK25" s="266"/>
      <c r="BL25" s="266"/>
      <c r="BM25" s="266"/>
      <c r="BN25" s="266"/>
      <c r="BO25" s="266"/>
      <c r="BP25" s="266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29">
        <v>0.36</v>
      </c>
      <c r="L28" s="229"/>
      <c r="M28" s="229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29">
        <v>0.24</v>
      </c>
      <c r="L29" s="229"/>
      <c r="M29" s="229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49" t="str">
        <f>IF('Abnahme_GPON_1-16'!AY29:AZ29="x","x"," ")</f>
        <v xml:space="preserve"> </v>
      </c>
      <c r="AZ29" s="350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349" t="str">
        <f>IF('Abnahme_GPON_1-16'!BN29:BO29="x","x"," ")</f>
        <v xml:space="preserve"> </v>
      </c>
      <c r="BO29" s="350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29">
        <v>0.25</v>
      </c>
      <c r="L30" s="229"/>
      <c r="M30" s="229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73">
        <f>'Abnahme_GPON_1-16'!AN30:AP30</f>
        <v>1</v>
      </c>
      <c r="AO30" s="373"/>
      <c r="AP30" s="373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49" t="str">
        <f>IF('Abnahme_GPON_1-16'!AY30:AZ30="x","x"," ")</f>
        <v>x</v>
      </c>
      <c r="AZ30" s="350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349" t="str">
        <f>IF('Abnahme_GPON_1-16'!BN30:BO30="x","x"," ")</f>
        <v xml:space="preserve"> </v>
      </c>
      <c r="BO30" s="350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281"/>
      <c r="O33" s="237" t="s">
        <v>147</v>
      </c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9"/>
      <c r="AB33" s="370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1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69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282"/>
      <c r="O34" s="367" t="str">
        <f>'Abnahme_GPON_1-16'!O34:AA34</f>
        <v>18510 Wittenhagen</v>
      </c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9"/>
      <c r="AB34" s="371" t="s">
        <v>3</v>
      </c>
      <c r="AC34" s="245"/>
      <c r="AD34" s="246"/>
      <c r="AE34" s="277" t="s">
        <v>140</v>
      </c>
      <c r="AF34" s="245"/>
      <c r="AG34" s="245"/>
      <c r="AH34" s="278"/>
      <c r="AI34" s="185"/>
      <c r="AJ34" s="185"/>
      <c r="AK34" s="185"/>
      <c r="AL34" s="185"/>
      <c r="AM34" s="282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0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0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1"/>
    </row>
    <row r="35" spans="2:69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282"/>
      <c r="O35" s="243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4"/>
      <c r="AB35" s="372"/>
      <c r="AC35" s="247"/>
      <c r="AD35" s="248"/>
      <c r="AE35" s="279"/>
      <c r="AF35" s="247"/>
      <c r="AG35" s="247"/>
      <c r="AH35" s="280"/>
      <c r="AI35" s="247"/>
      <c r="AJ35" s="247"/>
      <c r="AK35" s="247"/>
      <c r="AL35" s="247"/>
      <c r="AM35" s="280"/>
      <c r="AN35" s="243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4"/>
    </row>
    <row r="36" spans="2:69" s="31" customFormat="1" ht="21.95" customHeight="1" thickBot="1">
      <c r="B36" s="341" t="s">
        <v>98</v>
      </c>
      <c r="C36" s="342"/>
      <c r="D36" s="342"/>
      <c r="E36" s="218">
        <f>IF(AY29="x",5,IF(AY30="x",17,"-"))</f>
        <v>17</v>
      </c>
      <c r="F36" s="219"/>
      <c r="G36" s="220"/>
      <c r="H36" s="218" t="str">
        <f>IF(BN29="x",1,IF(BN30="x",17,"-"))</f>
        <v>-</v>
      </c>
      <c r="I36" s="219"/>
      <c r="J36" s="221"/>
      <c r="K36" s="222">
        <v>6811</v>
      </c>
      <c r="L36" s="223"/>
      <c r="M36" s="223"/>
      <c r="N36" s="224"/>
      <c r="O36" s="222" t="s">
        <v>181</v>
      </c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4"/>
      <c r="AB36" s="232">
        <v>1</v>
      </c>
      <c r="AC36" s="233"/>
      <c r="AD36" s="234"/>
      <c r="AE36" s="343"/>
      <c r="AF36" s="233"/>
      <c r="AG36" s="233"/>
      <c r="AH36" s="344"/>
      <c r="AI36" s="334">
        <f>AG24+AE25+AE36</f>
        <v>1049.5999999999999</v>
      </c>
      <c r="AJ36" s="334"/>
      <c r="AK36" s="334"/>
      <c r="AL36" s="334"/>
      <c r="AM36" s="335"/>
      <c r="AN36" s="326">
        <f>(K28+W30)*AI36/1000+(AN30*AN29)+IF(AI36&gt;0,1,0)+IF(AY29="x",10.5,0)+IF(BN29="x",7.1,0)+IF(AY30="x",17.1,0)+IF(BN30="x",17.1,0)</f>
        <v>18.937775999999999</v>
      </c>
      <c r="AO36" s="327"/>
      <c r="AP36" s="327"/>
      <c r="AQ36" s="327"/>
      <c r="AR36" s="328"/>
      <c r="AS36" s="329">
        <v>16.8</v>
      </c>
      <c r="AT36" s="330"/>
      <c r="AU36" s="330"/>
      <c r="AV36" s="330"/>
      <c r="AW36" s="331"/>
      <c r="AX36" s="332">
        <f t="shared" ref="AX36:AX51" si="0">AN36-(AI36*0.12/1000)</f>
        <v>18.811823999999998</v>
      </c>
      <c r="AY36" s="327"/>
      <c r="AZ36" s="327"/>
      <c r="BA36" s="327"/>
      <c r="BB36" s="328"/>
      <c r="BC36" s="329">
        <v>16.420000000000002</v>
      </c>
      <c r="BD36" s="330"/>
      <c r="BE36" s="330"/>
      <c r="BF36" s="330"/>
      <c r="BG36" s="331"/>
      <c r="BH36" s="332">
        <f t="shared" ref="BH36:BH51" si="1">AN36-(AI36*0.11/1000)</f>
        <v>18.822320000000001</v>
      </c>
      <c r="BI36" s="327"/>
      <c r="BJ36" s="327"/>
      <c r="BK36" s="327"/>
      <c r="BL36" s="328"/>
      <c r="BM36" s="329"/>
      <c r="BN36" s="330"/>
      <c r="BO36" s="330"/>
      <c r="BP36" s="330"/>
      <c r="BQ36" s="333"/>
    </row>
    <row r="37" spans="2:69" s="31" customFormat="1" ht="21.95" customHeight="1" thickBot="1">
      <c r="B37" s="286" t="s">
        <v>99</v>
      </c>
      <c r="C37" s="287"/>
      <c r="D37" s="288"/>
      <c r="E37" s="186">
        <f>IF(AY29="x",5,IF(AY30="x",18,"-"))</f>
        <v>18</v>
      </c>
      <c r="F37" s="187"/>
      <c r="G37" s="188"/>
      <c r="H37" s="186" t="str">
        <f>IF(BN29="x",2,IF(BN30="x",18,"-"))</f>
        <v>-</v>
      </c>
      <c r="I37" s="187"/>
      <c r="J37" s="189"/>
      <c r="K37" s="222">
        <v>6811</v>
      </c>
      <c r="L37" s="223"/>
      <c r="M37" s="223"/>
      <c r="N37" s="224"/>
      <c r="O37" s="222" t="s">
        <v>181</v>
      </c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4"/>
      <c r="AB37" s="235">
        <v>2</v>
      </c>
      <c r="AC37" s="195"/>
      <c r="AD37" s="236"/>
      <c r="AE37" s="352"/>
      <c r="AF37" s="353"/>
      <c r="AG37" s="353"/>
      <c r="AH37" s="354"/>
      <c r="AI37" s="308">
        <f>AG24+AE25+AE37</f>
        <v>1049.5999999999999</v>
      </c>
      <c r="AJ37" s="308"/>
      <c r="AK37" s="308"/>
      <c r="AL37" s="308"/>
      <c r="AM37" s="309"/>
      <c r="AN37" s="295">
        <f>(K28+W30)*AI37/1000+(AN29*AN30)+IF(AI37&gt;0,1,0)+IF(AY29="x",10.5,0)+IF(BN29="x",7.1,0)+IF(AY30="x",17.1,0)+IF(BN30="x",17.1,0)</f>
        <v>18.937775999999999</v>
      </c>
      <c r="AO37" s="290"/>
      <c r="AP37" s="290"/>
      <c r="AQ37" s="290"/>
      <c r="AR37" s="291"/>
      <c r="AS37" s="292">
        <v>16.93</v>
      </c>
      <c r="AT37" s="293"/>
      <c r="AU37" s="293"/>
      <c r="AV37" s="293"/>
      <c r="AW37" s="294"/>
      <c r="AX37" s="289">
        <f t="shared" si="0"/>
        <v>18.811823999999998</v>
      </c>
      <c r="AY37" s="290"/>
      <c r="AZ37" s="290"/>
      <c r="BA37" s="290"/>
      <c r="BB37" s="291"/>
      <c r="BC37" s="292">
        <v>16.510000000000002</v>
      </c>
      <c r="BD37" s="293"/>
      <c r="BE37" s="293"/>
      <c r="BF37" s="293"/>
      <c r="BG37" s="294"/>
      <c r="BH37" s="289">
        <f t="shared" si="1"/>
        <v>18.822320000000001</v>
      </c>
      <c r="BI37" s="290"/>
      <c r="BJ37" s="290"/>
      <c r="BK37" s="290"/>
      <c r="BL37" s="291"/>
      <c r="BM37" s="292"/>
      <c r="BN37" s="293"/>
      <c r="BO37" s="293"/>
      <c r="BP37" s="293"/>
      <c r="BQ37" s="322"/>
    </row>
    <row r="38" spans="2:69" s="31" customFormat="1" ht="21.95" customHeight="1" thickBot="1">
      <c r="B38" s="286" t="s">
        <v>100</v>
      </c>
      <c r="C38" s="287"/>
      <c r="D38" s="288"/>
      <c r="E38" s="186">
        <f>IF(AY29="x",5,IF(AY30="x",19,"-"))</f>
        <v>19</v>
      </c>
      <c r="F38" s="187"/>
      <c r="G38" s="188"/>
      <c r="H38" s="186" t="str">
        <f>IF(BN29="x",3,IF(BN30="x",19,"-"))</f>
        <v>-</v>
      </c>
      <c r="I38" s="187"/>
      <c r="J38" s="189"/>
      <c r="K38" s="222">
        <v>6813</v>
      </c>
      <c r="L38" s="223"/>
      <c r="M38" s="223"/>
      <c r="N38" s="224"/>
      <c r="O38" s="222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4"/>
      <c r="AB38" s="235"/>
      <c r="AC38" s="195"/>
      <c r="AD38" s="236"/>
      <c r="AE38" s="352"/>
      <c r="AF38" s="353"/>
      <c r="AG38" s="353"/>
      <c r="AH38" s="354"/>
      <c r="AI38" s="308">
        <f>AG24+AE25+AE38</f>
        <v>1049.5999999999999</v>
      </c>
      <c r="AJ38" s="308"/>
      <c r="AK38" s="308"/>
      <c r="AL38" s="308"/>
      <c r="AM38" s="309"/>
      <c r="AN38" s="295">
        <f>(K28+W30)*AI38/1000+(AN29*AN30)+IF(AI38&gt;0,1,0)+IF(AY29="x",10.5,0)+IF(BN29="x",7.1,0)+IF(AY30="x",17.1,0)+IF(BN30="x",17.1,0)</f>
        <v>18.937775999999999</v>
      </c>
      <c r="AO38" s="290"/>
      <c r="AP38" s="290"/>
      <c r="AQ38" s="290"/>
      <c r="AR38" s="291"/>
      <c r="AS38" s="292"/>
      <c r="AT38" s="293"/>
      <c r="AU38" s="293"/>
      <c r="AV38" s="293"/>
      <c r="AW38" s="294"/>
      <c r="AX38" s="289">
        <f t="shared" si="0"/>
        <v>18.811823999999998</v>
      </c>
      <c r="AY38" s="290"/>
      <c r="AZ38" s="290"/>
      <c r="BA38" s="290"/>
      <c r="BB38" s="291"/>
      <c r="BC38" s="292"/>
      <c r="BD38" s="293"/>
      <c r="BE38" s="293"/>
      <c r="BF38" s="293"/>
      <c r="BG38" s="294"/>
      <c r="BH38" s="289">
        <f t="shared" si="1"/>
        <v>18.822320000000001</v>
      </c>
      <c r="BI38" s="290"/>
      <c r="BJ38" s="290"/>
      <c r="BK38" s="290"/>
      <c r="BL38" s="291"/>
      <c r="BM38" s="292"/>
      <c r="BN38" s="293"/>
      <c r="BO38" s="293"/>
      <c r="BP38" s="293"/>
      <c r="BQ38" s="322"/>
    </row>
    <row r="39" spans="2:69" s="31" customFormat="1" ht="21.95" customHeight="1" thickBot="1">
      <c r="B39" s="286" t="s">
        <v>101</v>
      </c>
      <c r="C39" s="287"/>
      <c r="D39" s="288"/>
      <c r="E39" s="186">
        <f>IF(AY29="x",5,IF(AY30="x",20,"-"))</f>
        <v>20</v>
      </c>
      <c r="F39" s="187"/>
      <c r="G39" s="188"/>
      <c r="H39" s="186" t="str">
        <f>IF(BN29="x",4,IF(BN30="x",20,"-"))</f>
        <v>-</v>
      </c>
      <c r="I39" s="187"/>
      <c r="J39" s="189"/>
      <c r="K39" s="222">
        <v>6814</v>
      </c>
      <c r="L39" s="223"/>
      <c r="M39" s="223"/>
      <c r="N39" s="224"/>
      <c r="O39" s="222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4"/>
      <c r="AB39" s="235"/>
      <c r="AC39" s="195"/>
      <c r="AD39" s="236"/>
      <c r="AE39" s="352"/>
      <c r="AF39" s="353"/>
      <c r="AG39" s="353"/>
      <c r="AH39" s="354"/>
      <c r="AI39" s="308">
        <f>AG24+AE25+AE39</f>
        <v>1049.5999999999999</v>
      </c>
      <c r="AJ39" s="308"/>
      <c r="AK39" s="308"/>
      <c r="AL39" s="308"/>
      <c r="AM39" s="309"/>
      <c r="AN39" s="295">
        <f>(K28+W30)*AI39/1000+(AN29*AN30)+IF(AI39&gt;0,1,0)+IF(AY29="x",10.5,0)+IF(BN29="x",7.1,0)+IF(AY30="x",17.1,0)+IF(BN30="x",17.1,0)</f>
        <v>18.937775999999999</v>
      </c>
      <c r="AO39" s="290"/>
      <c r="AP39" s="290"/>
      <c r="AQ39" s="290"/>
      <c r="AR39" s="291"/>
      <c r="AS39" s="292"/>
      <c r="AT39" s="293"/>
      <c r="AU39" s="293"/>
      <c r="AV39" s="293"/>
      <c r="AW39" s="294"/>
      <c r="AX39" s="289">
        <f t="shared" si="0"/>
        <v>18.811823999999998</v>
      </c>
      <c r="AY39" s="290"/>
      <c r="AZ39" s="290"/>
      <c r="BA39" s="290"/>
      <c r="BB39" s="291"/>
      <c r="BC39" s="292"/>
      <c r="BD39" s="293"/>
      <c r="BE39" s="293"/>
      <c r="BF39" s="293"/>
      <c r="BG39" s="294"/>
      <c r="BH39" s="289">
        <f t="shared" si="1"/>
        <v>18.822320000000001</v>
      </c>
      <c r="BI39" s="290"/>
      <c r="BJ39" s="290"/>
      <c r="BK39" s="290"/>
      <c r="BL39" s="291"/>
      <c r="BM39" s="292"/>
      <c r="BN39" s="293"/>
      <c r="BO39" s="293"/>
      <c r="BP39" s="293"/>
      <c r="BQ39" s="322"/>
    </row>
    <row r="40" spans="2:69" s="31" customFormat="1" ht="21.95" customHeight="1" thickBot="1">
      <c r="B40" s="286" t="s">
        <v>102</v>
      </c>
      <c r="C40" s="287"/>
      <c r="D40" s="288"/>
      <c r="E40" s="186">
        <f>IF(AY29="x",6,IF(AY30="x",21,"-"))</f>
        <v>21</v>
      </c>
      <c r="F40" s="187"/>
      <c r="G40" s="188"/>
      <c r="H40" s="186" t="str">
        <f>IF(BN29="x",1,IF(BN30="x",21,"-"))</f>
        <v>-</v>
      </c>
      <c r="I40" s="187"/>
      <c r="J40" s="189"/>
      <c r="K40" s="222">
        <v>6815</v>
      </c>
      <c r="L40" s="223"/>
      <c r="M40" s="223"/>
      <c r="N40" s="224"/>
      <c r="O40" s="222" t="s">
        <v>180</v>
      </c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4"/>
      <c r="AB40" s="235">
        <v>1</v>
      </c>
      <c r="AC40" s="195"/>
      <c r="AD40" s="236"/>
      <c r="AE40" s="352">
        <v>321</v>
      </c>
      <c r="AF40" s="353"/>
      <c r="AG40" s="353"/>
      <c r="AH40" s="354"/>
      <c r="AI40" s="308">
        <f>AG24+AE25+AE40</f>
        <v>1370.6</v>
      </c>
      <c r="AJ40" s="308"/>
      <c r="AK40" s="308"/>
      <c r="AL40" s="308"/>
      <c r="AM40" s="309"/>
      <c r="AN40" s="295">
        <f>(K28+W30)*AI40/1000+(AN29*AN30)+IF(AI40&gt;0,1,0)+IF(AY29="x",10.5,0)+IF(BN29="x",7.1,0)+IF(AY30="x",17.1,0)+IF(BN30="x",17.1,0)</f>
        <v>19.117536000000001</v>
      </c>
      <c r="AO40" s="290"/>
      <c r="AP40" s="290"/>
      <c r="AQ40" s="290"/>
      <c r="AR40" s="291"/>
      <c r="AS40" s="292">
        <v>16.61</v>
      </c>
      <c r="AT40" s="293"/>
      <c r="AU40" s="293"/>
      <c r="AV40" s="293"/>
      <c r="AW40" s="294"/>
      <c r="AX40" s="289">
        <f t="shared" si="0"/>
        <v>18.953064000000001</v>
      </c>
      <c r="AY40" s="290"/>
      <c r="AZ40" s="290"/>
      <c r="BA40" s="290"/>
      <c r="BB40" s="291"/>
      <c r="BC40" s="292">
        <v>16.38</v>
      </c>
      <c r="BD40" s="293"/>
      <c r="BE40" s="293"/>
      <c r="BF40" s="293"/>
      <c r="BG40" s="294"/>
      <c r="BH40" s="289">
        <f t="shared" si="1"/>
        <v>18.96677</v>
      </c>
      <c r="BI40" s="290"/>
      <c r="BJ40" s="290"/>
      <c r="BK40" s="290"/>
      <c r="BL40" s="291"/>
      <c r="BM40" s="292"/>
      <c r="BN40" s="293"/>
      <c r="BO40" s="293"/>
      <c r="BP40" s="293"/>
      <c r="BQ40" s="322"/>
    </row>
    <row r="41" spans="2:69" s="31" customFormat="1" ht="21.95" customHeight="1" thickBot="1">
      <c r="B41" s="286" t="s">
        <v>103</v>
      </c>
      <c r="C41" s="287"/>
      <c r="D41" s="288"/>
      <c r="E41" s="186">
        <f>IF(AY29="x",6,IF(AY30="x",22,"-"))</f>
        <v>22</v>
      </c>
      <c r="F41" s="187"/>
      <c r="G41" s="188"/>
      <c r="H41" s="186" t="str">
        <f>IF(BN29="x",2,IF(BN30="x",22,"-"))</f>
        <v>-</v>
      </c>
      <c r="I41" s="187"/>
      <c r="J41" s="189"/>
      <c r="K41" s="222">
        <v>6816</v>
      </c>
      <c r="L41" s="223"/>
      <c r="M41" s="223"/>
      <c r="N41" s="224"/>
      <c r="O41" s="222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4"/>
      <c r="AB41" s="235"/>
      <c r="AC41" s="195"/>
      <c r="AD41" s="236"/>
      <c r="AE41" s="352"/>
      <c r="AF41" s="353"/>
      <c r="AG41" s="353"/>
      <c r="AH41" s="354"/>
      <c r="AI41" s="308">
        <f>AG24+AE25+AE41</f>
        <v>1049.5999999999999</v>
      </c>
      <c r="AJ41" s="308"/>
      <c r="AK41" s="308"/>
      <c r="AL41" s="308"/>
      <c r="AM41" s="309"/>
      <c r="AN41" s="295">
        <f>(K28+W30)*AI41/1000+(AN29*AN30)+IF(AI41&gt;0,1,0)+IF(AY29="x",10.5,0)+IF(BN29="x",7.1,0)+IF(AY30="x",17.1,0)+IF(BN30="x",17.1,0)</f>
        <v>18.937775999999999</v>
      </c>
      <c r="AO41" s="290"/>
      <c r="AP41" s="290"/>
      <c r="AQ41" s="290"/>
      <c r="AR41" s="291"/>
      <c r="AS41" s="292"/>
      <c r="AT41" s="293"/>
      <c r="AU41" s="293"/>
      <c r="AV41" s="293"/>
      <c r="AW41" s="294"/>
      <c r="AX41" s="289">
        <f t="shared" si="0"/>
        <v>18.811823999999998</v>
      </c>
      <c r="AY41" s="290"/>
      <c r="AZ41" s="290"/>
      <c r="BA41" s="290"/>
      <c r="BB41" s="291"/>
      <c r="BC41" s="292"/>
      <c r="BD41" s="293"/>
      <c r="BE41" s="293"/>
      <c r="BF41" s="293"/>
      <c r="BG41" s="294"/>
      <c r="BH41" s="289">
        <f t="shared" si="1"/>
        <v>18.822320000000001</v>
      </c>
      <c r="BI41" s="290"/>
      <c r="BJ41" s="290"/>
      <c r="BK41" s="290"/>
      <c r="BL41" s="291"/>
      <c r="BM41" s="292"/>
      <c r="BN41" s="293"/>
      <c r="BO41" s="293"/>
      <c r="BP41" s="293"/>
      <c r="BQ41" s="322"/>
    </row>
    <row r="42" spans="2:69" s="31" customFormat="1" ht="21.95" customHeight="1" thickBot="1">
      <c r="B42" s="286" t="s">
        <v>104</v>
      </c>
      <c r="C42" s="287"/>
      <c r="D42" s="288"/>
      <c r="E42" s="186">
        <f>IF(AY29="x",6,IF(AY30="x",23,"-"))</f>
        <v>23</v>
      </c>
      <c r="F42" s="187"/>
      <c r="G42" s="188"/>
      <c r="H42" s="186" t="str">
        <f>IF(BN29="x",3,IF(BN30="x",23,"-"))</f>
        <v>-</v>
      </c>
      <c r="I42" s="187"/>
      <c r="J42" s="189"/>
      <c r="K42" s="222">
        <v>6817</v>
      </c>
      <c r="L42" s="223"/>
      <c r="M42" s="223"/>
      <c r="N42" s="224"/>
      <c r="O42" s="222" t="s">
        <v>173</v>
      </c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4"/>
      <c r="AB42" s="235">
        <v>1</v>
      </c>
      <c r="AC42" s="195"/>
      <c r="AD42" s="236"/>
      <c r="AE42" s="352">
        <v>368</v>
      </c>
      <c r="AF42" s="353"/>
      <c r="AG42" s="353"/>
      <c r="AH42" s="354"/>
      <c r="AI42" s="308">
        <f>AG24+AE25+AE42</f>
        <v>1417.6</v>
      </c>
      <c r="AJ42" s="308"/>
      <c r="AK42" s="308"/>
      <c r="AL42" s="308"/>
      <c r="AM42" s="309"/>
      <c r="AN42" s="295">
        <f>(K28+W30)*AI42/1000+(AN29*AN30)+IF(AI42&gt;0,1,0)+IF(AY29="x",10.5,0)+IF(BN29="x",7.1,0)+IF(AY30="x",17.1,0)+IF(BN30="x",17.1,0)</f>
        <v>19.143856</v>
      </c>
      <c r="AO42" s="290"/>
      <c r="AP42" s="290"/>
      <c r="AQ42" s="290"/>
      <c r="AR42" s="291"/>
      <c r="AS42" s="292">
        <v>16.899999999999999</v>
      </c>
      <c r="AT42" s="293"/>
      <c r="AU42" s="293"/>
      <c r="AV42" s="293"/>
      <c r="AW42" s="294"/>
      <c r="AX42" s="289">
        <f t="shared" si="0"/>
        <v>18.973744</v>
      </c>
      <c r="AY42" s="290"/>
      <c r="AZ42" s="290"/>
      <c r="BA42" s="290"/>
      <c r="BB42" s="291"/>
      <c r="BC42" s="292">
        <v>16.59</v>
      </c>
      <c r="BD42" s="293"/>
      <c r="BE42" s="293"/>
      <c r="BF42" s="293"/>
      <c r="BG42" s="294"/>
      <c r="BH42" s="289">
        <f t="shared" si="1"/>
        <v>18.987919999999999</v>
      </c>
      <c r="BI42" s="290"/>
      <c r="BJ42" s="290"/>
      <c r="BK42" s="290"/>
      <c r="BL42" s="291"/>
      <c r="BM42" s="292"/>
      <c r="BN42" s="293"/>
      <c r="BO42" s="293"/>
      <c r="BP42" s="293"/>
      <c r="BQ42" s="322"/>
    </row>
    <row r="43" spans="2:69" s="31" customFormat="1" ht="21.95" customHeight="1" thickBot="1">
      <c r="B43" s="286" t="s">
        <v>105</v>
      </c>
      <c r="C43" s="287"/>
      <c r="D43" s="288"/>
      <c r="E43" s="186">
        <f>IF(AY29="x",6,IF(AY30="x",24,"-"))</f>
        <v>24</v>
      </c>
      <c r="F43" s="187"/>
      <c r="G43" s="188"/>
      <c r="H43" s="186" t="str">
        <f>IF(BN29="x",4,IF(BN30="x",24,"-"))</f>
        <v>-</v>
      </c>
      <c r="I43" s="187"/>
      <c r="J43" s="189"/>
      <c r="K43" s="222">
        <v>6817</v>
      </c>
      <c r="L43" s="223"/>
      <c r="M43" s="223"/>
      <c r="N43" s="224"/>
      <c r="O43" s="222" t="s">
        <v>173</v>
      </c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4"/>
      <c r="AB43" s="235">
        <v>2</v>
      </c>
      <c r="AC43" s="195"/>
      <c r="AD43" s="236"/>
      <c r="AE43" s="352">
        <v>368</v>
      </c>
      <c r="AF43" s="353"/>
      <c r="AG43" s="353"/>
      <c r="AH43" s="354"/>
      <c r="AI43" s="308">
        <f>AG24+AE25+AE43</f>
        <v>1417.6</v>
      </c>
      <c r="AJ43" s="308"/>
      <c r="AK43" s="308"/>
      <c r="AL43" s="308"/>
      <c r="AM43" s="309"/>
      <c r="AN43" s="295">
        <f>(K28+W30)*AI43/1000+(AN29*AN30)+IF(AI43&gt;0,1,0)+IF(AY29="x",10.5,0)+IF(BN29="x",7.1,0)+IF(AY30="x",17.1,0)+IF(BN30="x",17.1,0)</f>
        <v>19.143856</v>
      </c>
      <c r="AO43" s="290"/>
      <c r="AP43" s="290"/>
      <c r="AQ43" s="290"/>
      <c r="AR43" s="291"/>
      <c r="AS43" s="292">
        <v>16.78</v>
      </c>
      <c r="AT43" s="293"/>
      <c r="AU43" s="293"/>
      <c r="AV43" s="293"/>
      <c r="AW43" s="294"/>
      <c r="AX43" s="289">
        <f t="shared" si="0"/>
        <v>18.973744</v>
      </c>
      <c r="AY43" s="290"/>
      <c r="AZ43" s="290"/>
      <c r="BA43" s="290"/>
      <c r="BB43" s="291"/>
      <c r="BC43" s="292">
        <v>16.66</v>
      </c>
      <c r="BD43" s="293"/>
      <c r="BE43" s="293"/>
      <c r="BF43" s="293"/>
      <c r="BG43" s="294"/>
      <c r="BH43" s="289">
        <f t="shared" si="1"/>
        <v>18.987919999999999</v>
      </c>
      <c r="BI43" s="290"/>
      <c r="BJ43" s="290"/>
      <c r="BK43" s="290"/>
      <c r="BL43" s="291"/>
      <c r="BM43" s="292"/>
      <c r="BN43" s="293"/>
      <c r="BO43" s="293"/>
      <c r="BP43" s="293"/>
      <c r="BQ43" s="322"/>
    </row>
    <row r="44" spans="2:69" s="31" customFormat="1" ht="21.95" customHeight="1" thickBot="1">
      <c r="B44" s="286" t="s">
        <v>106</v>
      </c>
      <c r="C44" s="287"/>
      <c r="D44" s="288"/>
      <c r="E44" s="186">
        <f>IF(AY29="x",7,IF(AY30="x",25,"-"))</f>
        <v>25</v>
      </c>
      <c r="F44" s="187"/>
      <c r="G44" s="188"/>
      <c r="H44" s="186" t="str">
        <f>IF(BN29="x",1,IF(BN30="x",25,"-"))</f>
        <v>-</v>
      </c>
      <c r="I44" s="187"/>
      <c r="J44" s="189"/>
      <c r="K44" s="222">
        <v>6818</v>
      </c>
      <c r="L44" s="223"/>
      <c r="M44" s="223"/>
      <c r="N44" s="224"/>
      <c r="O44" s="222" t="s">
        <v>179</v>
      </c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4"/>
      <c r="AB44" s="235">
        <v>1</v>
      </c>
      <c r="AC44" s="195"/>
      <c r="AD44" s="236"/>
      <c r="AE44" s="352">
        <v>365</v>
      </c>
      <c r="AF44" s="353"/>
      <c r="AG44" s="353"/>
      <c r="AH44" s="354"/>
      <c r="AI44" s="308">
        <f>AG24+AE25+AE44</f>
        <v>1414.6</v>
      </c>
      <c r="AJ44" s="308"/>
      <c r="AK44" s="308"/>
      <c r="AL44" s="308"/>
      <c r="AM44" s="309"/>
      <c r="AN44" s="295">
        <f>(K28+W30)*AI44/1000+(AN29*AN30)+IF(AI44&gt;0,1,0)+IF(AY29="x",10.5,0)+IF(BN29="x",7.1,0)+IF(AY30="x",17.1,0)+IF(BN30="x",17.1,0)</f>
        <v>19.142176000000003</v>
      </c>
      <c r="AO44" s="290"/>
      <c r="AP44" s="290"/>
      <c r="AQ44" s="290"/>
      <c r="AR44" s="291"/>
      <c r="AS44" s="292">
        <v>16.66</v>
      </c>
      <c r="AT44" s="293"/>
      <c r="AU44" s="293"/>
      <c r="AV44" s="293"/>
      <c r="AW44" s="294"/>
      <c r="AX44" s="289">
        <f t="shared" si="0"/>
        <v>18.972424000000004</v>
      </c>
      <c r="AY44" s="290"/>
      <c r="AZ44" s="290"/>
      <c r="BA44" s="290"/>
      <c r="BB44" s="291"/>
      <c r="BC44" s="292">
        <v>16.239999999999998</v>
      </c>
      <c r="BD44" s="293"/>
      <c r="BE44" s="293"/>
      <c r="BF44" s="293"/>
      <c r="BG44" s="294"/>
      <c r="BH44" s="289">
        <f t="shared" si="1"/>
        <v>18.986570000000004</v>
      </c>
      <c r="BI44" s="290"/>
      <c r="BJ44" s="290"/>
      <c r="BK44" s="290"/>
      <c r="BL44" s="291"/>
      <c r="BM44" s="292"/>
      <c r="BN44" s="293"/>
      <c r="BO44" s="293"/>
      <c r="BP44" s="293"/>
      <c r="BQ44" s="322"/>
    </row>
    <row r="45" spans="2:69" s="31" customFormat="1" ht="21.95" customHeight="1" thickBot="1">
      <c r="B45" s="286" t="s">
        <v>107</v>
      </c>
      <c r="C45" s="287"/>
      <c r="D45" s="288"/>
      <c r="E45" s="186">
        <f>IF(AY29="x",7,IF(AY30="x",26,"-"))</f>
        <v>26</v>
      </c>
      <c r="F45" s="187"/>
      <c r="G45" s="188"/>
      <c r="H45" s="186" t="str">
        <f>IF(BN29="x",2,IF(BN30="x",26,"-"))</f>
        <v>-</v>
      </c>
      <c r="I45" s="187"/>
      <c r="J45" s="189"/>
      <c r="K45" s="222">
        <v>6819</v>
      </c>
      <c r="L45" s="223"/>
      <c r="M45" s="223"/>
      <c r="N45" s="224"/>
      <c r="O45" s="222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4"/>
      <c r="AB45" s="235"/>
      <c r="AC45" s="195"/>
      <c r="AD45" s="236"/>
      <c r="AE45" s="352"/>
      <c r="AF45" s="353"/>
      <c r="AG45" s="353"/>
      <c r="AH45" s="354"/>
      <c r="AI45" s="308">
        <f>AG24+AE25+AE45</f>
        <v>1049.5999999999999</v>
      </c>
      <c r="AJ45" s="308"/>
      <c r="AK45" s="308"/>
      <c r="AL45" s="308"/>
      <c r="AM45" s="309"/>
      <c r="AN45" s="295">
        <f>(K28+W30)*AI45/1000+(AN29*AN30)+IF(AI45&gt;0,1,0)+IF(AY29="x",10.5,0)+IF(BN29="x",7.1,0)+IF(AY30="x",17.1,0)+IF(BN30="x",17.1,0)</f>
        <v>18.937775999999999</v>
      </c>
      <c r="AO45" s="290"/>
      <c r="AP45" s="290"/>
      <c r="AQ45" s="290"/>
      <c r="AR45" s="291"/>
      <c r="AS45" s="292"/>
      <c r="AT45" s="293"/>
      <c r="AU45" s="293"/>
      <c r="AV45" s="293"/>
      <c r="AW45" s="294"/>
      <c r="AX45" s="289">
        <f t="shared" si="0"/>
        <v>18.811823999999998</v>
      </c>
      <c r="AY45" s="290"/>
      <c r="AZ45" s="290"/>
      <c r="BA45" s="290"/>
      <c r="BB45" s="291"/>
      <c r="BC45" s="292"/>
      <c r="BD45" s="293"/>
      <c r="BE45" s="293"/>
      <c r="BF45" s="293"/>
      <c r="BG45" s="294"/>
      <c r="BH45" s="289">
        <f t="shared" si="1"/>
        <v>18.822320000000001</v>
      </c>
      <c r="BI45" s="290"/>
      <c r="BJ45" s="290"/>
      <c r="BK45" s="290"/>
      <c r="BL45" s="291"/>
      <c r="BM45" s="292"/>
      <c r="BN45" s="293"/>
      <c r="BO45" s="293"/>
      <c r="BP45" s="293"/>
      <c r="BQ45" s="322"/>
    </row>
    <row r="46" spans="2:69" s="31" customFormat="1" ht="21.95" customHeight="1" thickBot="1">
      <c r="B46" s="286" t="s">
        <v>108</v>
      </c>
      <c r="C46" s="287"/>
      <c r="D46" s="288"/>
      <c r="E46" s="186">
        <f>IF(AY29="x",7,IF(AY30="x",27,"-"))</f>
        <v>27</v>
      </c>
      <c r="F46" s="187"/>
      <c r="G46" s="188"/>
      <c r="H46" s="186" t="str">
        <f>IF(BN29="x",3,IF(BN30="x",27,"-"))</f>
        <v>-</v>
      </c>
      <c r="I46" s="187"/>
      <c r="J46" s="189"/>
      <c r="K46" s="222">
        <v>6820</v>
      </c>
      <c r="L46" s="223"/>
      <c r="M46" s="223"/>
      <c r="N46" s="224"/>
      <c r="O46" s="222" t="s">
        <v>174</v>
      </c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4"/>
      <c r="AB46" s="235">
        <v>1</v>
      </c>
      <c r="AC46" s="195"/>
      <c r="AD46" s="236"/>
      <c r="AE46" s="352">
        <v>313</v>
      </c>
      <c r="AF46" s="353"/>
      <c r="AG46" s="353"/>
      <c r="AH46" s="354"/>
      <c r="AI46" s="308">
        <f>AG24+AE25+AE46</f>
        <v>1362.6</v>
      </c>
      <c r="AJ46" s="308"/>
      <c r="AK46" s="308"/>
      <c r="AL46" s="308"/>
      <c r="AM46" s="309"/>
      <c r="AN46" s="295">
        <f>(K28+W30)*AI46/1000+(AN29*AN30)+IF(AI46&gt;0,1,0)+IF(AY29="x",10.5,0)+IF(BN29="x",7.1,0)+IF(AY30="x",17.1,0)+IF(BN30="x",17.1,0)</f>
        <v>19.113056</v>
      </c>
      <c r="AO46" s="290"/>
      <c r="AP46" s="290"/>
      <c r="AQ46" s="290"/>
      <c r="AR46" s="291"/>
      <c r="AS46" s="292">
        <v>16.55</v>
      </c>
      <c r="AT46" s="293"/>
      <c r="AU46" s="293"/>
      <c r="AV46" s="293"/>
      <c r="AW46" s="294"/>
      <c r="AX46" s="289">
        <f t="shared" si="0"/>
        <v>18.949543999999999</v>
      </c>
      <c r="AY46" s="290"/>
      <c r="AZ46" s="290"/>
      <c r="BA46" s="290"/>
      <c r="BB46" s="291"/>
      <c r="BC46" s="292">
        <v>16.170000000000002</v>
      </c>
      <c r="BD46" s="293"/>
      <c r="BE46" s="293"/>
      <c r="BF46" s="293"/>
      <c r="BG46" s="294"/>
      <c r="BH46" s="289">
        <f t="shared" si="1"/>
        <v>18.963170000000002</v>
      </c>
      <c r="BI46" s="290"/>
      <c r="BJ46" s="290"/>
      <c r="BK46" s="290"/>
      <c r="BL46" s="291"/>
      <c r="BM46" s="292"/>
      <c r="BN46" s="293"/>
      <c r="BO46" s="293"/>
      <c r="BP46" s="293"/>
      <c r="BQ46" s="322"/>
    </row>
    <row r="47" spans="2:69" s="31" customFormat="1" ht="21.95" customHeight="1" thickBot="1">
      <c r="B47" s="286" t="s">
        <v>109</v>
      </c>
      <c r="C47" s="287"/>
      <c r="D47" s="288"/>
      <c r="E47" s="186">
        <f>IF(AY29="x",7,IF(AY30="x",28,"-"))</f>
        <v>28</v>
      </c>
      <c r="F47" s="187"/>
      <c r="G47" s="188"/>
      <c r="H47" s="186" t="str">
        <f>IF(BN29="x",4,IF(BN30="x",28,"-"))</f>
        <v>-</v>
      </c>
      <c r="I47" s="187"/>
      <c r="J47" s="189"/>
      <c r="K47" s="222">
        <v>6821</v>
      </c>
      <c r="L47" s="223"/>
      <c r="M47" s="223"/>
      <c r="N47" s="224"/>
      <c r="O47" s="222" t="s">
        <v>175</v>
      </c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4"/>
      <c r="AB47" s="235">
        <v>1</v>
      </c>
      <c r="AC47" s="195"/>
      <c r="AD47" s="236"/>
      <c r="AE47" s="352">
        <v>300</v>
      </c>
      <c r="AF47" s="353"/>
      <c r="AG47" s="353"/>
      <c r="AH47" s="354"/>
      <c r="AI47" s="308">
        <f>AG24+AE25+AE47</f>
        <v>1349.6</v>
      </c>
      <c r="AJ47" s="308"/>
      <c r="AK47" s="308"/>
      <c r="AL47" s="308"/>
      <c r="AM47" s="309"/>
      <c r="AN47" s="295">
        <f>(K28+W30)*AI47/1000+(AN29*AN30)+IF(AI47&gt;0,1,0)+IF(AY29="x",10.5,0)+IF(BN29="x",7.1,0)+IF(AY30="x",17.1,0)+IF(BN30="x",17.1,0)</f>
        <v>19.105776000000002</v>
      </c>
      <c r="AO47" s="290"/>
      <c r="AP47" s="290"/>
      <c r="AQ47" s="290"/>
      <c r="AR47" s="291"/>
      <c r="AS47" s="292">
        <v>16.72</v>
      </c>
      <c r="AT47" s="293"/>
      <c r="AU47" s="293"/>
      <c r="AV47" s="293"/>
      <c r="AW47" s="294"/>
      <c r="AX47" s="289">
        <f t="shared" si="0"/>
        <v>18.943824000000003</v>
      </c>
      <c r="AY47" s="290"/>
      <c r="AZ47" s="290"/>
      <c r="BA47" s="290"/>
      <c r="BB47" s="291"/>
      <c r="BC47" s="292">
        <v>16.52</v>
      </c>
      <c r="BD47" s="293"/>
      <c r="BE47" s="293"/>
      <c r="BF47" s="293"/>
      <c r="BG47" s="294"/>
      <c r="BH47" s="289">
        <f t="shared" si="1"/>
        <v>18.957320000000003</v>
      </c>
      <c r="BI47" s="290"/>
      <c r="BJ47" s="290"/>
      <c r="BK47" s="290"/>
      <c r="BL47" s="291"/>
      <c r="BM47" s="292"/>
      <c r="BN47" s="293"/>
      <c r="BO47" s="293"/>
      <c r="BP47" s="293"/>
      <c r="BQ47" s="322"/>
    </row>
    <row r="48" spans="2:69" s="31" customFormat="1" ht="21.95" customHeight="1" thickBot="1">
      <c r="B48" s="286" t="s">
        <v>110</v>
      </c>
      <c r="C48" s="287"/>
      <c r="D48" s="288"/>
      <c r="E48" s="186">
        <f>IF(AY29="x",8,IF(AY30="x",29,"-"))</f>
        <v>29</v>
      </c>
      <c r="F48" s="187"/>
      <c r="G48" s="188"/>
      <c r="H48" s="186" t="str">
        <f>IF(BN29="x",1,IF(BN30="x",29,"-"))</f>
        <v>-</v>
      </c>
      <c r="I48" s="187"/>
      <c r="J48" s="189"/>
      <c r="K48" s="222">
        <v>6822</v>
      </c>
      <c r="L48" s="223"/>
      <c r="M48" s="223"/>
      <c r="N48" s="224"/>
      <c r="O48" s="222" t="s">
        <v>176</v>
      </c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4"/>
      <c r="AB48" s="235">
        <v>1</v>
      </c>
      <c r="AC48" s="195"/>
      <c r="AD48" s="236"/>
      <c r="AE48" s="352">
        <v>285</v>
      </c>
      <c r="AF48" s="353"/>
      <c r="AG48" s="353"/>
      <c r="AH48" s="354"/>
      <c r="AI48" s="308">
        <f>AG24+AE25+AE48</f>
        <v>1334.6</v>
      </c>
      <c r="AJ48" s="308"/>
      <c r="AK48" s="308"/>
      <c r="AL48" s="308"/>
      <c r="AM48" s="309"/>
      <c r="AN48" s="295">
        <f>(K28+W30)*AI48/1000+(AN29*AN30)+IF(AI48&gt;0,1,0)+IF(AY29="x",10.5,0)+IF(BN29="x",7.1,0)+IF(AY30="x",17.1,0)+IF(BN30="x",17.1,0)</f>
        <v>19.097376000000001</v>
      </c>
      <c r="AO48" s="290"/>
      <c r="AP48" s="290"/>
      <c r="AQ48" s="290"/>
      <c r="AR48" s="291"/>
      <c r="AS48" s="292">
        <v>17.04</v>
      </c>
      <c r="AT48" s="293"/>
      <c r="AU48" s="293"/>
      <c r="AV48" s="293"/>
      <c r="AW48" s="294"/>
      <c r="AX48" s="289">
        <f t="shared" si="0"/>
        <v>18.937224000000001</v>
      </c>
      <c r="AY48" s="290"/>
      <c r="AZ48" s="290"/>
      <c r="BA48" s="290"/>
      <c r="BB48" s="291"/>
      <c r="BC48" s="292">
        <v>16.82</v>
      </c>
      <c r="BD48" s="293"/>
      <c r="BE48" s="293"/>
      <c r="BF48" s="293"/>
      <c r="BG48" s="294"/>
      <c r="BH48" s="289">
        <f t="shared" si="1"/>
        <v>18.950569999999999</v>
      </c>
      <c r="BI48" s="290"/>
      <c r="BJ48" s="290"/>
      <c r="BK48" s="290"/>
      <c r="BL48" s="291"/>
      <c r="BM48" s="292"/>
      <c r="BN48" s="293"/>
      <c r="BO48" s="293"/>
      <c r="BP48" s="293"/>
      <c r="BQ48" s="322"/>
    </row>
    <row r="49" spans="2:69" s="31" customFormat="1" ht="21.95" customHeight="1" thickBot="1">
      <c r="B49" s="286" t="s">
        <v>111</v>
      </c>
      <c r="C49" s="287"/>
      <c r="D49" s="288"/>
      <c r="E49" s="186">
        <f>IF(AY29="x",8,IF(AY30="x",30,"-"))</f>
        <v>30</v>
      </c>
      <c r="F49" s="187"/>
      <c r="G49" s="188"/>
      <c r="H49" s="186" t="str">
        <f>IF(BN29="x",2,IF(BN30="x",30,"-"))</f>
        <v>-</v>
      </c>
      <c r="I49" s="187"/>
      <c r="J49" s="189"/>
      <c r="K49" s="222">
        <v>6823</v>
      </c>
      <c r="L49" s="223"/>
      <c r="M49" s="223"/>
      <c r="N49" s="224"/>
      <c r="O49" s="222" t="s">
        <v>177</v>
      </c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4"/>
      <c r="AB49" s="235">
        <v>1</v>
      </c>
      <c r="AC49" s="195"/>
      <c r="AD49" s="236"/>
      <c r="AE49" s="352"/>
      <c r="AF49" s="353"/>
      <c r="AG49" s="353"/>
      <c r="AH49" s="354"/>
      <c r="AI49" s="308">
        <f>AG24+AE25+AE49</f>
        <v>1049.5999999999999</v>
      </c>
      <c r="AJ49" s="308"/>
      <c r="AK49" s="308"/>
      <c r="AL49" s="308"/>
      <c r="AM49" s="309"/>
      <c r="AN49" s="295">
        <f>(K28+W30)*AI49/1000+(AN29*AN30)+IF(AI49&gt;0,1,0)+IF(AY29="x",10.5,0)+IF(BN29="x",7.1,0)+IF(AY30="x",17.1,0)+IF(BN30="x",17.1,0)</f>
        <v>18.937775999999999</v>
      </c>
      <c r="AO49" s="290"/>
      <c r="AP49" s="290"/>
      <c r="AQ49" s="290"/>
      <c r="AR49" s="291"/>
      <c r="AS49" s="292">
        <v>16.690000000000001</v>
      </c>
      <c r="AT49" s="293"/>
      <c r="AU49" s="293"/>
      <c r="AV49" s="293"/>
      <c r="AW49" s="294"/>
      <c r="AX49" s="289">
        <f t="shared" si="0"/>
        <v>18.811823999999998</v>
      </c>
      <c r="AY49" s="290"/>
      <c r="AZ49" s="290"/>
      <c r="BA49" s="290"/>
      <c r="BB49" s="291"/>
      <c r="BC49" s="292">
        <v>16.45</v>
      </c>
      <c r="BD49" s="293"/>
      <c r="BE49" s="293"/>
      <c r="BF49" s="293"/>
      <c r="BG49" s="294"/>
      <c r="BH49" s="289">
        <f t="shared" si="1"/>
        <v>18.822320000000001</v>
      </c>
      <c r="BI49" s="290"/>
      <c r="BJ49" s="290"/>
      <c r="BK49" s="290"/>
      <c r="BL49" s="291"/>
      <c r="BM49" s="292"/>
      <c r="BN49" s="293"/>
      <c r="BO49" s="293"/>
      <c r="BP49" s="293"/>
      <c r="BQ49" s="322"/>
    </row>
    <row r="50" spans="2:69" s="31" customFormat="1" ht="21.95" customHeight="1" thickBot="1">
      <c r="B50" s="286" t="s">
        <v>112</v>
      </c>
      <c r="C50" s="287"/>
      <c r="D50" s="288"/>
      <c r="E50" s="186">
        <f>IF(AY29="x",8,IF(AY30="x",31,"-"))</f>
        <v>31</v>
      </c>
      <c r="F50" s="187"/>
      <c r="G50" s="188"/>
      <c r="H50" s="186" t="str">
        <f>IF(BN29="x",3,IF(BN30="x",31,"-"))</f>
        <v>-</v>
      </c>
      <c r="I50" s="187"/>
      <c r="J50" s="189"/>
      <c r="K50" s="222">
        <v>6823</v>
      </c>
      <c r="L50" s="223"/>
      <c r="M50" s="223"/>
      <c r="N50" s="224"/>
      <c r="O50" s="222" t="s">
        <v>177</v>
      </c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4"/>
      <c r="AB50" s="235">
        <v>2</v>
      </c>
      <c r="AC50" s="195"/>
      <c r="AD50" s="236"/>
      <c r="AE50" s="352"/>
      <c r="AF50" s="353"/>
      <c r="AG50" s="353"/>
      <c r="AH50" s="354"/>
      <c r="AI50" s="308">
        <f>AG24+AE25+AE50</f>
        <v>1049.5999999999999</v>
      </c>
      <c r="AJ50" s="308"/>
      <c r="AK50" s="308"/>
      <c r="AL50" s="308"/>
      <c r="AM50" s="309"/>
      <c r="AN50" s="295">
        <f>(K28+W30)*AI50/1000+(AN29*AN30)+IF(AI50&gt;0,1,0)+IF(AY29="x",10.5,0)+IF(BN29="x",7.1,0)+IF(AY30="x",17.1,0)+IF(BN30="x",17.1,0)</f>
        <v>18.937775999999999</v>
      </c>
      <c r="AO50" s="290"/>
      <c r="AP50" s="290"/>
      <c r="AQ50" s="290"/>
      <c r="AR50" s="291"/>
      <c r="AS50" s="292"/>
      <c r="AT50" s="293"/>
      <c r="AU50" s="293"/>
      <c r="AV50" s="293"/>
      <c r="AW50" s="294"/>
      <c r="AX50" s="289">
        <f t="shared" si="0"/>
        <v>18.811823999999998</v>
      </c>
      <c r="AY50" s="290"/>
      <c r="AZ50" s="290"/>
      <c r="BA50" s="290"/>
      <c r="BB50" s="291"/>
      <c r="BC50" s="292"/>
      <c r="BD50" s="293"/>
      <c r="BE50" s="293"/>
      <c r="BF50" s="293"/>
      <c r="BG50" s="294"/>
      <c r="BH50" s="289">
        <f t="shared" si="1"/>
        <v>18.822320000000001</v>
      </c>
      <c r="BI50" s="290"/>
      <c r="BJ50" s="290"/>
      <c r="BK50" s="290"/>
      <c r="BL50" s="291"/>
      <c r="BM50" s="292"/>
      <c r="BN50" s="293"/>
      <c r="BO50" s="293"/>
      <c r="BP50" s="293"/>
      <c r="BQ50" s="322"/>
    </row>
    <row r="51" spans="2:69" s="31" customFormat="1" ht="21.95" customHeight="1" thickBot="1">
      <c r="B51" s="305" t="s">
        <v>113</v>
      </c>
      <c r="C51" s="306"/>
      <c r="D51" s="307"/>
      <c r="E51" s="225">
        <f>IF(AY29="x",8,IF(AY30="x",32,"-"))</f>
        <v>32</v>
      </c>
      <c r="F51" s="226"/>
      <c r="G51" s="227"/>
      <c r="H51" s="225" t="str">
        <f>IF(BN29="x",4,IF(BN30="x",32,"-"))</f>
        <v>-</v>
      </c>
      <c r="I51" s="226"/>
      <c r="J51" s="228"/>
      <c r="K51" s="222">
        <v>6824</v>
      </c>
      <c r="L51" s="223"/>
      <c r="M51" s="223"/>
      <c r="N51" s="224"/>
      <c r="O51" s="346" t="s">
        <v>178</v>
      </c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8"/>
      <c r="AB51" s="312">
        <v>1</v>
      </c>
      <c r="AC51" s="313"/>
      <c r="AD51" s="314"/>
      <c r="AE51" s="355"/>
      <c r="AF51" s="356"/>
      <c r="AG51" s="356"/>
      <c r="AH51" s="357"/>
      <c r="AI51" s="310">
        <f>AG24+AE25+AE51</f>
        <v>1049.5999999999999</v>
      </c>
      <c r="AJ51" s="310"/>
      <c r="AK51" s="310"/>
      <c r="AL51" s="310"/>
      <c r="AM51" s="311"/>
      <c r="AN51" s="302">
        <f>(K28+W30)*AI51/1000+(AN29*AN30)+IF(AI51&gt;0,1,0)+IF(AY29="x",10.5,0)+IF(BN29="x",7.1,0)+IF(AY30="x",17.1,0)+IF(BN30="x",17.1,0)</f>
        <v>18.937775999999999</v>
      </c>
      <c r="AO51" s="303"/>
      <c r="AP51" s="303"/>
      <c r="AQ51" s="303"/>
      <c r="AR51" s="304"/>
      <c r="AS51" s="336"/>
      <c r="AT51" s="337"/>
      <c r="AU51" s="337"/>
      <c r="AV51" s="337"/>
      <c r="AW51" s="339"/>
      <c r="AX51" s="340">
        <f t="shared" si="0"/>
        <v>18.811823999999998</v>
      </c>
      <c r="AY51" s="303"/>
      <c r="AZ51" s="303"/>
      <c r="BA51" s="303"/>
      <c r="BB51" s="304"/>
      <c r="BC51" s="336"/>
      <c r="BD51" s="337"/>
      <c r="BE51" s="337"/>
      <c r="BF51" s="337"/>
      <c r="BG51" s="339"/>
      <c r="BH51" s="340">
        <f t="shared" si="1"/>
        <v>18.822320000000001</v>
      </c>
      <c r="BI51" s="303"/>
      <c r="BJ51" s="303"/>
      <c r="BK51" s="303"/>
      <c r="BL51" s="304"/>
      <c r="BM51" s="336"/>
      <c r="BN51" s="337"/>
      <c r="BO51" s="337"/>
      <c r="BP51" s="337"/>
      <c r="BQ51" s="338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319" t="s">
        <v>38</v>
      </c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1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96" t="s">
        <v>39</v>
      </c>
      <c r="C59" s="297"/>
      <c r="D59" s="297"/>
      <c r="E59" s="297"/>
      <c r="F59" s="297"/>
      <c r="G59" s="28"/>
      <c r="H59" s="298" t="s">
        <v>161</v>
      </c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9"/>
      <c r="U59" s="300" t="s">
        <v>40</v>
      </c>
      <c r="V59" s="297"/>
      <c r="W59" s="297"/>
      <c r="X59" s="297"/>
      <c r="Y59" s="29"/>
      <c r="Z59" s="301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300" t="s">
        <v>41</v>
      </c>
      <c r="AL59" s="297"/>
      <c r="AM59" s="297"/>
      <c r="AN59" s="297"/>
      <c r="AO59" s="297"/>
      <c r="AP59" s="297"/>
      <c r="AQ59" s="297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96"/>
      <c r="C60" s="297"/>
      <c r="D60" s="297"/>
      <c r="E60" s="297"/>
      <c r="F60" s="297"/>
      <c r="G60" s="2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9"/>
      <c r="U60" s="300"/>
      <c r="V60" s="297"/>
      <c r="W60" s="297"/>
      <c r="X60" s="297"/>
      <c r="Y60" s="29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9"/>
      <c r="AK60" s="300"/>
      <c r="AL60" s="297"/>
      <c r="AM60" s="297"/>
      <c r="AN60" s="297"/>
      <c r="AO60" s="297"/>
      <c r="AP60" s="297"/>
      <c r="AQ60" s="297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323" t="s">
        <v>131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324"/>
      <c r="BQ62" s="325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>
      <formula1>$DR$35:$DR$49</formula1>
    </dataValidation>
    <dataValidation type="list" allowBlank="1" showInputMessage="1" showErrorMessage="1" sqref="AR11:AT11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7" t="s">
        <v>126</v>
      </c>
      <c r="C2" s="378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Steffi Hiller</cp:lastModifiedBy>
  <cp:lastPrinted>2010-11-19T13:01:15Z</cp:lastPrinted>
  <dcterms:created xsi:type="dcterms:W3CDTF">1999-09-29T18:52:38Z</dcterms:created>
  <dcterms:modified xsi:type="dcterms:W3CDTF">2019-08-01T09:09:51Z</dcterms:modified>
</cp:coreProperties>
</file>