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Büroprogramme\FED 2019\Abtshagen\4R14\4V1068 Messungen incl. Messprotokolle FTTH\"/>
    </mc:Choice>
  </mc:AlternateContent>
  <bookViews>
    <workbookView xWindow="0" yWindow="0" windowWidth="28800" windowHeight="11715" activeTab="1"/>
  </bookViews>
  <sheets>
    <sheet name="Abnahme_GPON_1-16" sheetId="10" r:id="rId1"/>
    <sheet name="Abnahme_GPON_17-32" sheetId="13" r:id="rId2"/>
    <sheet name="Erläuterungen" sheetId="9" r:id="rId3"/>
  </sheets>
  <definedNames>
    <definedName name="_xlnm.Print_Area" localSheetId="0">'Abnahme_GPON_1-16'!$B$2:$BQ$62</definedName>
    <definedName name="_xlnm.Print_Area" localSheetId="1">'Abnahme_GPON_17-32'!$B$2:$BQ$62</definedName>
    <definedName name="_xlnm.Print_Area" localSheetId="2">Erläuterungen!$B$2:$C$33</definedName>
  </definedNames>
  <calcPr calcId="152511"/>
</workbook>
</file>

<file path=xl/calcChain.xml><?xml version="1.0" encoding="utf-8"?>
<calcChain xmlns="http://schemas.openxmlformats.org/spreadsheetml/2006/main">
  <c r="BC11" i="10" l="1"/>
  <c r="BC13" i="13" l="1"/>
  <c r="AR13" i="13"/>
  <c r="AI13" i="13"/>
  <c r="X13" i="13" l="1"/>
  <c r="X11" i="13"/>
  <c r="AR11" i="13" l="1"/>
  <c r="AI11" i="13"/>
  <c r="BC11" i="13"/>
  <c r="AE25" i="13" l="1"/>
  <c r="AG24" i="13"/>
  <c r="O34" i="13"/>
  <c r="AN30" i="13"/>
  <c r="AY29" i="13"/>
  <c r="BN29" i="13"/>
  <c r="AY30" i="13"/>
  <c r="BN30" i="13"/>
  <c r="AI36" i="10"/>
  <c r="AN36" i="10" s="1"/>
  <c r="AI51" i="10"/>
  <c r="AN51" i="10" s="1"/>
  <c r="BH51" i="10" s="1"/>
  <c r="AI50" i="10"/>
  <c r="AN50" i="10" s="1"/>
  <c r="AX50" i="10" s="1"/>
  <c r="AI49" i="10"/>
  <c r="AN49" i="10" s="1"/>
  <c r="BH49" i="10" s="1"/>
  <c r="AI48" i="10"/>
  <c r="AN48" i="10" s="1"/>
  <c r="AI47" i="10"/>
  <c r="AN47" i="10" s="1"/>
  <c r="BH47" i="10" s="1"/>
  <c r="AI46" i="10"/>
  <c r="AN46" i="10" s="1"/>
  <c r="AX46" i="10" s="1"/>
  <c r="AI45" i="10"/>
  <c r="AN45" i="10" s="1"/>
  <c r="BH45" i="10" s="1"/>
  <c r="AI44" i="10"/>
  <c r="AN44" i="10" s="1"/>
  <c r="AI43" i="10"/>
  <c r="AN43" i="10" s="1"/>
  <c r="BH43" i="10" s="1"/>
  <c r="AI42" i="10"/>
  <c r="AN42" i="10" s="1"/>
  <c r="BH42" i="10" s="1"/>
  <c r="AI41" i="10"/>
  <c r="AN41" i="10" s="1"/>
  <c r="BH41" i="10" s="1"/>
  <c r="AI40" i="10"/>
  <c r="AN40" i="10" s="1"/>
  <c r="AX40" i="10" s="1"/>
  <c r="AI38" i="10"/>
  <c r="AN38" i="10" s="1"/>
  <c r="AX38" i="10" s="1"/>
  <c r="AI39" i="10"/>
  <c r="AN39" i="10" s="1"/>
  <c r="AI37" i="10"/>
  <c r="AN37" i="10" s="1"/>
  <c r="BH37" i="10" s="1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BC20" i="13"/>
  <c r="AK20" i="13"/>
  <c r="S20" i="13"/>
  <c r="BC18" i="13"/>
  <c r="AK18" i="13"/>
  <c r="S18" i="13"/>
  <c r="AR7" i="13"/>
  <c r="D7" i="13"/>
  <c r="H42" i="13" l="1"/>
  <c r="AI42" i="13"/>
  <c r="AN42" i="13" s="1"/>
  <c r="BH42" i="13" s="1"/>
  <c r="AX41" i="10"/>
  <c r="AI38" i="13"/>
  <c r="AN38" i="13" s="1"/>
  <c r="H39" i="13"/>
  <c r="H51" i="13"/>
  <c r="AI50" i="13"/>
  <c r="AN50" i="13" s="1"/>
  <c r="AX50" i="13" s="1"/>
  <c r="BH36" i="10"/>
  <c r="AX36" i="10"/>
  <c r="AI46" i="13"/>
  <c r="AN46" i="13" s="1"/>
  <c r="BH44" i="10"/>
  <c r="AX44" i="10"/>
  <c r="BH48" i="10"/>
  <c r="AX48" i="10"/>
  <c r="H47" i="13"/>
  <c r="H50" i="13"/>
  <c r="AX37" i="10"/>
  <c r="AI49" i="13"/>
  <c r="AN49" i="13" s="1"/>
  <c r="H38" i="13"/>
  <c r="H46" i="13"/>
  <c r="H43" i="13"/>
  <c r="H48" i="13"/>
  <c r="AI37" i="13"/>
  <c r="AN37" i="13" s="1"/>
  <c r="AI41" i="13"/>
  <c r="AN41" i="13" s="1"/>
  <c r="AI45" i="13"/>
  <c r="AN45" i="13" s="1"/>
  <c r="AI51" i="13"/>
  <c r="AN51" i="13" s="1"/>
  <c r="AX51" i="13" s="1"/>
  <c r="H37" i="13"/>
  <c r="H41" i="13"/>
  <c r="H45" i="13"/>
  <c r="H49" i="13"/>
  <c r="AI36" i="13"/>
  <c r="AN36" i="13" s="1"/>
  <c r="BH36" i="13" s="1"/>
  <c r="AI40" i="13"/>
  <c r="AN40" i="13" s="1"/>
  <c r="AX40" i="13" s="1"/>
  <c r="AI44" i="13"/>
  <c r="AN44" i="13" s="1"/>
  <c r="AX44" i="13" s="1"/>
  <c r="AI48" i="13"/>
  <c r="AN48" i="13" s="1"/>
  <c r="AX48" i="13" s="1"/>
  <c r="E50" i="13"/>
  <c r="H36" i="13"/>
  <c r="H40" i="13"/>
  <c r="H44" i="13"/>
  <c r="AI39" i="13"/>
  <c r="AN39" i="13" s="1"/>
  <c r="AI43" i="13"/>
  <c r="AN43" i="13" s="1"/>
  <c r="AI47" i="13"/>
  <c r="AN47" i="13" s="1"/>
  <c r="BH39" i="10"/>
  <c r="AX39" i="10"/>
  <c r="E41" i="13"/>
  <c r="E49" i="13"/>
  <c r="AX42" i="10"/>
  <c r="AX43" i="10"/>
  <c r="AX47" i="10"/>
  <c r="AX51" i="10"/>
  <c r="BH38" i="10"/>
  <c r="BH40" i="10"/>
  <c r="BH46" i="10"/>
  <c r="BH50" i="10"/>
  <c r="E36" i="13"/>
  <c r="E40" i="13"/>
  <c r="E44" i="13"/>
  <c r="E48" i="13"/>
  <c r="E37" i="13"/>
  <c r="E45" i="13"/>
  <c r="E39" i="13"/>
  <c r="E43" i="13"/>
  <c r="E47" i="13"/>
  <c r="E51" i="13"/>
  <c r="AX45" i="10"/>
  <c r="AX49" i="10"/>
  <c r="E38" i="13"/>
  <c r="E42" i="13"/>
  <c r="E46" i="13"/>
  <c r="BH40" i="13" l="1"/>
  <c r="BH38" i="13"/>
  <c r="AX38" i="13"/>
  <c r="AX42" i="13"/>
  <c r="BH46" i="13"/>
  <c r="AX46" i="13"/>
  <c r="BH50" i="13"/>
  <c r="BH48" i="13"/>
  <c r="AX36" i="13"/>
  <c r="BH51" i="13"/>
  <c r="BH44" i="13"/>
  <c r="BH47" i="13"/>
  <c r="AX47" i="13"/>
  <c r="AX37" i="13"/>
  <c r="BH37" i="13"/>
  <c r="AX41" i="13"/>
  <c r="BH41" i="13"/>
  <c r="AX45" i="13"/>
  <c r="BH45" i="13"/>
  <c r="BH39" i="13"/>
  <c r="AX39" i="13"/>
  <c r="AX49" i="13"/>
  <c r="BH49" i="13"/>
  <c r="BH43" i="13"/>
  <c r="AX43" i="13"/>
</calcChain>
</file>

<file path=xl/comments1.xml><?xml version="1.0" encoding="utf-8"?>
<comments xmlns="http://schemas.openxmlformats.org/spreadsheetml/2006/main">
  <authors>
    <author>Roesler.Tobias</author>
  </authors>
  <commentList>
    <comment ref="AY29" authorId="0" shapeId="0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>
      <text>
        <r>
          <rPr>
            <b/>
            <sz val="8"/>
            <color indexed="81"/>
            <rFont val="Tahoma"/>
          </rPr>
          <t>Mögliche GPON-Steckverbindungen:</t>
        </r>
        <r>
          <rPr>
            <sz val="8"/>
            <color indexed="81"/>
            <rFont val="Tahoma"/>
          </rPr>
          <t xml:space="preserve">
1= OLT oder PON-Messfilter
2= Gf-AP
3= Gebäudeverteiler
4= Gf-TA</t>
        </r>
      </text>
    </comment>
    <comment ref="AY30" authorId="0" shapeId="0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Roesler.Tobias</author>
  </authors>
  <commentList>
    <comment ref="AN30" authorId="0" shapeId="0">
      <text>
        <r>
          <rPr>
            <b/>
            <sz val="8"/>
            <color indexed="81"/>
            <rFont val="Tahoma"/>
          </rPr>
          <t xml:space="preserve">Mögliche GPON-Steckverbindungen:
</t>
        </r>
        <r>
          <rPr>
            <sz val="8"/>
            <color indexed="81"/>
            <rFont val="Tahoma"/>
            <family val="2"/>
          </rPr>
          <t>1= OLT oder Mess-pWDM
2= Gf-AP
3= Gebäudeverteiler
4= Gf-TA</t>
        </r>
      </text>
    </comment>
  </commentList>
</comments>
</file>

<file path=xl/sharedStrings.xml><?xml version="1.0" encoding="utf-8"?>
<sst xmlns="http://schemas.openxmlformats.org/spreadsheetml/2006/main" count="317" uniqueCount="178">
  <si>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</si>
  <si>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</si>
  <si>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</si>
  <si>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</si>
  <si>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</si>
  <si>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</si>
  <si>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</si>
  <si>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</si>
  <si>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</si>
  <si>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Auftrags-Nr.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</si>
  <si>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</si>
  <si>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</si>
  <si>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</si>
  <si>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</si>
  <si>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</si>
  <si>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</si>
  <si>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</si>
  <si>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</si>
  <si>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(Gemessen nach HB Band 12)</t>
  </si>
  <si>
    <t>Bezeichnung der Maßnahme:</t>
  </si>
  <si>
    <t>Auftrags-Nr.:</t>
  </si>
  <si>
    <t>1625 nm</t>
  </si>
  <si>
    <t>Steckverbindungen</t>
  </si>
  <si>
    <t>=</t>
  </si>
  <si>
    <t>Dämpfung</t>
  </si>
  <si>
    <t>a</t>
  </si>
  <si>
    <t>C</t>
  </si>
  <si>
    <t>S</t>
  </si>
  <si>
    <t>Dämpfungskoeffizient</t>
  </si>
  <si>
    <t xml:space="preserve">kilometrische </t>
  </si>
  <si>
    <t>(korrigierter Dämpfungsbelag)</t>
  </si>
  <si>
    <t>Spleißdämpfung</t>
  </si>
  <si>
    <t>koeff 1310 nm</t>
  </si>
  <si>
    <t>dB/km</t>
  </si>
  <si>
    <t>koeff 1625 nm</t>
  </si>
  <si>
    <t>Gerät Nr.:</t>
  </si>
  <si>
    <t>Inventar-Nr.:</t>
  </si>
  <si>
    <t>Faser</t>
  </si>
  <si>
    <t>Alle gemessenen Fasern wurden auf Durchgang und Vertauschung geprüft.</t>
  </si>
  <si>
    <t>Name:</t>
  </si>
  <si>
    <t>Datum:</t>
  </si>
  <si>
    <t>Unterschrift:</t>
  </si>
  <si>
    <r>
      <t>n</t>
    </r>
    <r>
      <rPr>
        <b/>
        <vertAlign val="subscript"/>
        <sz val="10"/>
        <rFont val="Arial"/>
        <family val="2"/>
      </rPr>
      <t>C</t>
    </r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</si>
  <si>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</si>
  <si>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</si>
  <si>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</si>
  <si>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</si>
  <si>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</si>
  <si>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</si>
  <si>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</si>
  <si>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</si>
  <si>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</si>
  <si>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</si>
  <si>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</si>
  <si>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</si>
  <si>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</si>
  <si>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</si>
  <si>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</si>
  <si>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</si>
  <si>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</si>
  <si>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</si>
  <si>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</si>
  <si>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</si>
  <si>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</si>
  <si>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</si>
  <si>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</si>
  <si>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</si>
  <si>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</si>
  <si>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</si>
  <si>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</si>
  <si>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</si>
  <si>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</si>
  <si>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</si>
  <si>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</si>
  <si>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</si>
  <si>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</si>
  <si>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</si>
  <si>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</si>
  <si>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Inventarnummer</t>
  </si>
  <si>
    <t>Inventarnummer des verwendeten Messgerätes (z.B. D20003789)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</si>
  <si>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</si>
  <si>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</si>
  <si>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</si>
  <si>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</si>
  <si>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</si>
  <si>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</si>
  <si>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</si>
  <si>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</si>
  <si>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</si>
  <si>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</si>
  <si>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</si>
  <si>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</si>
  <si>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</si>
  <si>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</si>
  <si>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</si>
  <si>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</si>
  <si>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</si>
  <si>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</si>
  <si>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</si>
  <si>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</si>
  <si>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</si>
  <si>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</si>
  <si>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</si>
  <si>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</si>
  <si>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</si>
  <si>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</si>
  <si>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</si>
  <si>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</si>
  <si>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</si>
  <si>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</si>
  <si>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</si>
  <si>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</si>
  <si>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</si>
  <si>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</si>
  <si>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</si>
  <si>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</si>
  <si>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</si>
  <si>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Abnahmemessung an Glasfaserkabeln  -  FTTH</t>
  </si>
  <si>
    <t>SM - Nummer aus PROMPT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</si>
  <si>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</si>
  <si>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</si>
  <si>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</si>
  <si>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</si>
  <si>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</si>
  <si>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</si>
  <si>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</si>
  <si>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Die Kopfdaten von Blatt 1 werden automatisch auf Blatt 2 übertragen !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</si>
  <si>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</si>
  <si>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</si>
  <si>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</si>
  <si>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</si>
  <si>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t xml:space="preserve">Messprotokoll 1 aus "FTTH-Messanweisung für Glasfaserkabel",  AU 28941,  Abschnitt 4 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</si>
  <si>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</si>
  <si>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</si>
  <si>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Mess - WDM</t>
  </si>
  <si>
    <r>
      <t xml:space="preserve">a </t>
    </r>
    <r>
      <rPr>
        <b/>
        <sz val="9"/>
        <color indexed="8"/>
        <rFont val="Arial"/>
        <family val="2"/>
      </rPr>
      <t>= 1,0 dB</t>
    </r>
  </si>
  <si>
    <t>Kabellänge OLT Gf-HVt</t>
  </si>
  <si>
    <t>m</t>
  </si>
  <si>
    <t>Kabellänge Gf-Hk</t>
  </si>
  <si>
    <t>Gesamt-          kabel-      länge                  in m</t>
  </si>
  <si>
    <t>Kabel-  länge   in m</t>
  </si>
  <si>
    <t>Vzk - Faser</t>
  </si>
  <si>
    <t>Eingebaute Kabellänge zwischen OLT-Gestell und Gf-HVt</t>
  </si>
  <si>
    <t>Kabellänge des Gf-Hk</t>
  </si>
  <si>
    <t>Kabellänge in m</t>
  </si>
  <si>
    <r>
      <t xml:space="preserve">Gesamte Kabellänge vom OLT / Mess-pWDM </t>
    </r>
    <r>
      <rPr>
        <sz val="10"/>
        <rFont val="Symbol"/>
        <family val="1"/>
        <charset val="2"/>
      </rPr>
      <t>®</t>
    </r>
    <r>
      <rPr>
        <sz val="10"/>
        <rFont val="Arial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</rPr>
      <t xml:space="preserve"> Gf-AP (wird automatisch errechnet).</t>
    </r>
  </si>
  <si>
    <t>Kabellänge des Gf-Vzk</t>
  </si>
  <si>
    <t>Ort</t>
  </si>
  <si>
    <t>Ortsangabe zum Gf-AP</t>
  </si>
  <si>
    <t>OLT - Daten</t>
  </si>
  <si>
    <t>Gf - Linie</t>
  </si>
  <si>
    <t>PON</t>
  </si>
  <si>
    <t>ORL 55/85</t>
  </si>
  <si>
    <t>OLP 55/85 S</t>
  </si>
  <si>
    <t>Fachschlüsselzahl des GPON-OLT</t>
  </si>
  <si>
    <r>
      <t xml:space="preserve">Einbauplatz OLT-Baugruppe 1-8 / 11-17    </t>
    </r>
    <r>
      <rPr>
        <b/>
        <sz val="10"/>
        <color rgb="FFFF0000"/>
        <rFont val="Arial"/>
        <family val="2"/>
      </rPr>
      <t>Auswahlfeld</t>
    </r>
  </si>
  <si>
    <r>
      <t xml:space="preserve">Port auf der OLT-Baugruppe  0-7              </t>
    </r>
    <r>
      <rPr>
        <b/>
        <sz val="10"/>
        <color rgb="FFFF0000"/>
        <rFont val="Arial"/>
        <family val="2"/>
      </rPr>
      <t>Auswahlfeld</t>
    </r>
  </si>
  <si>
    <r>
      <t xml:space="preserve">PON-Nummer des OLT  1-120      </t>
    </r>
    <r>
      <rPr>
        <b/>
        <sz val="10"/>
        <color rgb="FFFF0000"/>
        <rFont val="Arial"/>
        <family val="2"/>
      </rPr>
      <t>wird aus Slot und Port errechnet</t>
    </r>
  </si>
  <si>
    <t>BG</t>
  </si>
  <si>
    <t>X</t>
  </si>
  <si>
    <t>18510 Wittenhagen</t>
  </si>
  <si>
    <t>S.Teubel</t>
  </si>
  <si>
    <t>203519978</t>
  </si>
  <si>
    <t>NVT_V1068_38327_004_FTTH_HK_4R_14 UL_Ost1_MBfD</t>
  </si>
  <si>
    <t>4R14</t>
  </si>
  <si>
    <t>Franzburger Str. 68</t>
  </si>
  <si>
    <t>Franzburger Str. 65</t>
  </si>
  <si>
    <t>Franzburger Str. 67</t>
  </si>
  <si>
    <t>Franzburger Str. 66</t>
  </si>
  <si>
    <t>Franzburger Str. 72</t>
  </si>
  <si>
    <t>Am Feldrain 7</t>
  </si>
  <si>
    <t>Am Feldrain 5</t>
  </si>
  <si>
    <t>Am Feldrain 3</t>
  </si>
  <si>
    <t>Am Feldrain 8</t>
  </si>
  <si>
    <t>Am Feldrain 6</t>
  </si>
  <si>
    <t>Am Feldrain 4</t>
  </si>
  <si>
    <t>Am Feldrain 2</t>
  </si>
  <si>
    <t>Franzburger Str.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</si>
</sst>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sz val="12"/>
      <color indexed="8"/>
      <name val="Symbol"/>
      <family val="1"/>
      <charset val="2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</font>
    <font>
      <b/>
      <sz val="8"/>
      <color indexed="81"/>
      <name val="Tahoma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sz val="8"/>
      <color indexed="81"/>
      <name val="Tahoma"/>
      <family val="2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79">
    <xf numFmtId="0" fontId="0" fillId="0" borderId="0" xfId="0"/>
    <xf numFmtId="0" fontId="4" fillId="0" borderId="0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4" fillId="0" borderId="0" xfId="3" applyFont="1" applyBorder="1" applyAlignment="1" applyProtection="1">
      <alignment horizontal="left" vertical="center"/>
      <protection hidden="1"/>
    </xf>
    <xf numFmtId="0" fontId="4" fillId="0" borderId="2" xfId="3" applyFont="1" applyBorder="1" applyAlignment="1" applyProtection="1">
      <alignment horizontal="left" vertical="center"/>
      <protection hidden="1"/>
    </xf>
    <xf numFmtId="0" fontId="4" fillId="0" borderId="3" xfId="3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16" fillId="0" borderId="0" xfId="0" applyFont="1" applyBorder="1" applyAlignment="1" applyProtection="1">
      <alignment vertical="center"/>
    </xf>
    <xf numFmtId="0" fontId="16" fillId="0" borderId="1" xfId="0" applyFont="1" applyBorder="1" applyAlignment="1" applyProtection="1">
      <alignment vertical="center"/>
    </xf>
    <xf numFmtId="0" fontId="16" fillId="0" borderId="7" xfId="0" applyFont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/>
    </xf>
    <xf numFmtId="0" fontId="6" fillId="0" borderId="15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4" fillId="0" borderId="0" xfId="3" applyFont="1" applyBorder="1" applyAlignment="1" applyProtection="1">
      <alignment horizontal="center" vertical="center"/>
      <protection hidden="1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5" xfId="0" applyNumberFormat="1" applyBorder="1" applyAlignment="1" applyProtection="1">
      <alignment vertical="center"/>
    </xf>
    <xf numFmtId="0" fontId="0" fillId="0" borderId="6" xfId="0" applyNumberFormat="1" applyBorder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8" xfId="0" applyNumberFormat="1" applyFont="1" applyBorder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6" fillId="0" borderId="9" xfId="0" applyNumberFormat="1" applyFont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6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6" xfId="0" applyNumberFormat="1" applyFont="1" applyBorder="1" applyAlignment="1" applyProtection="1">
      <alignment vertical="center"/>
    </xf>
    <xf numFmtId="0" fontId="2" fillId="0" borderId="17" xfId="0" applyNumberFormat="1" applyFont="1" applyBorder="1" applyAlignment="1" applyProtection="1">
      <alignment vertical="center"/>
    </xf>
    <xf numFmtId="0" fontId="2" fillId="0" borderId="18" xfId="0" applyNumberFormat="1" applyFont="1" applyBorder="1" applyAlignment="1" applyProtection="1">
      <alignment vertical="center"/>
    </xf>
    <xf numFmtId="0" fontId="19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9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2" fillId="0" borderId="19" xfId="0" applyNumberFormat="1" applyFont="1" applyBorder="1" applyAlignment="1" applyProtection="1">
      <alignment vertical="center"/>
    </xf>
    <xf numFmtId="0" fontId="4" fillId="0" borderId="19" xfId="3" applyNumberFormat="1" applyFont="1" applyBorder="1" applyAlignment="1" applyProtection="1">
      <alignment horizontal="left" vertical="center"/>
      <protection hidden="1"/>
    </xf>
    <xf numFmtId="0" fontId="6" fillId="0" borderId="19" xfId="0" applyNumberFormat="1" applyFont="1" applyBorder="1" applyAlignment="1" applyProtection="1">
      <alignment vertical="center"/>
    </xf>
    <xf numFmtId="0" fontId="4" fillId="0" borderId="19" xfId="3" applyNumberFormat="1" applyFont="1" applyBorder="1" applyAlignment="1" applyProtection="1">
      <alignment horizontal="center" vertical="center"/>
      <protection hidden="1"/>
    </xf>
    <xf numFmtId="0" fontId="4" fillId="0" borderId="19" xfId="3" applyNumberFormat="1" applyFont="1" applyFill="1" applyBorder="1" applyAlignment="1" applyProtection="1">
      <alignment horizontal="right" vertical="center"/>
      <protection hidden="1"/>
    </xf>
    <xf numFmtId="0" fontId="1" fillId="0" borderId="19" xfId="3" applyNumberFormat="1" applyFont="1" applyBorder="1" applyAlignment="1" applyProtection="1">
      <alignment horizontal="left" vertical="center"/>
      <protection hidden="1"/>
    </xf>
    <xf numFmtId="0" fontId="4" fillId="0" borderId="20" xfId="3" applyNumberFormat="1" applyFont="1" applyFill="1" applyBorder="1" applyAlignment="1" applyProtection="1">
      <alignment vertical="center"/>
      <protection hidden="1"/>
    </xf>
    <xf numFmtId="0" fontId="4" fillId="0" borderId="19" xfId="0" applyNumberFormat="1" applyFont="1" applyBorder="1" applyAlignment="1" applyProtection="1">
      <alignment horizontal="left" vertical="center"/>
      <protection hidden="1"/>
    </xf>
    <xf numFmtId="0" fontId="21" fillId="0" borderId="19" xfId="0" applyNumberFormat="1" applyFont="1" applyBorder="1" applyAlignment="1" applyProtection="1">
      <alignment vertical="center"/>
    </xf>
    <xf numFmtId="0" fontId="2" fillId="0" borderId="2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4" fillId="0" borderId="2" xfId="3" applyNumberFormat="1" applyFont="1" applyBorder="1" applyAlignment="1" applyProtection="1">
      <alignment horizontal="left" vertical="center"/>
      <protection hidden="1"/>
    </xf>
    <xf numFmtId="0" fontId="6" fillId="0" borderId="2" xfId="0" applyNumberFormat="1" applyFont="1" applyBorder="1" applyAlignment="1" applyProtection="1">
      <alignment vertical="center"/>
    </xf>
    <xf numFmtId="0" fontId="4" fillId="0" borderId="2" xfId="3" applyNumberFormat="1" applyFont="1" applyBorder="1" applyAlignment="1" applyProtection="1">
      <alignment horizontal="center" vertical="center"/>
      <protection hidden="1"/>
    </xf>
    <xf numFmtId="0" fontId="4" fillId="0" borderId="2" xfId="3" applyNumberFormat="1" applyFont="1" applyFill="1" applyBorder="1" applyAlignment="1" applyProtection="1">
      <alignment horizontal="right" vertical="center"/>
      <protection hidden="1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1" fillId="0" borderId="2" xfId="3" applyNumberFormat="1" applyFont="1" applyBorder="1" applyAlignment="1" applyProtection="1">
      <alignment horizontal="left" vertical="center"/>
      <protection hidden="1"/>
    </xf>
    <xf numFmtId="0" fontId="14" fillId="0" borderId="2" xfId="3" applyNumberFormat="1" applyFont="1" applyBorder="1" applyAlignment="1" applyProtection="1">
      <alignment horizontal="center" vertical="center"/>
      <protection hidden="1"/>
    </xf>
    <xf numFmtId="0" fontId="13" fillId="0" borderId="2" xfId="3" applyNumberFormat="1" applyFont="1" applyBorder="1" applyAlignment="1" applyProtection="1">
      <alignment horizontal="center" vertical="center"/>
      <protection hidden="1"/>
    </xf>
    <xf numFmtId="0" fontId="1" fillId="0" borderId="2" xfId="3" applyNumberFormat="1" applyFont="1" applyBorder="1" applyAlignment="1" applyProtection="1">
      <alignment horizontal="center" vertical="center"/>
      <protection hidden="1"/>
    </xf>
    <xf numFmtId="0" fontId="4" fillId="0" borderId="2" xfId="3" applyNumberFormat="1" applyFont="1" applyFill="1" applyBorder="1" applyAlignment="1" applyProtection="1">
      <alignment vertical="center"/>
      <protection hidden="1"/>
    </xf>
    <xf numFmtId="0" fontId="4" fillId="0" borderId="13" xfId="3" applyNumberFormat="1" applyFont="1" applyFill="1" applyBorder="1" applyAlignment="1" applyProtection="1">
      <alignment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4" fillId="0" borderId="2" xfId="0" applyNumberFormat="1" applyFont="1" applyBorder="1" applyAlignment="1" applyProtection="1">
      <alignment horizontal="left" vertical="center"/>
      <protection hidden="1"/>
    </xf>
    <xf numFmtId="0" fontId="2" fillId="0" borderId="13" xfId="0" applyNumberFormat="1" applyFont="1" applyBorder="1" applyAlignment="1" applyProtection="1">
      <alignment vertical="center"/>
    </xf>
    <xf numFmtId="0" fontId="21" fillId="0" borderId="2" xfId="0" applyNumberFormat="1" applyFont="1" applyBorder="1" applyAlignment="1" applyProtection="1">
      <alignment vertical="center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4" fillId="0" borderId="18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21" fillId="0" borderId="0" xfId="0" applyNumberFormat="1" applyFont="1" applyBorder="1" applyAlignment="1" applyProtection="1">
      <alignment vertical="center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4" fillId="0" borderId="0" xfId="3" applyNumberFormat="1" applyFont="1" applyBorder="1" applyAlignment="1" applyProtection="1">
      <alignment horizontal="center" vertical="center"/>
      <protection hidden="1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2" fillId="0" borderId="22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6" fillId="0" borderId="18" xfId="0" applyNumberFormat="1" applyFont="1" applyBorder="1" applyAlignment="1" applyProtection="1">
      <alignment vertical="center"/>
    </xf>
    <xf numFmtId="0" fontId="12" fillId="0" borderId="0" xfId="2" applyNumberFormat="1" applyFont="1" applyFill="1" applyBorder="1" applyAlignment="1" applyProtection="1">
      <alignment horizontal="center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14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12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4" fillId="0" borderId="1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6" fillId="0" borderId="0" xfId="0" applyNumberFormat="1" applyFont="1" applyBorder="1" applyAlignment="1" applyProtection="1">
      <alignment vertical="center"/>
    </xf>
    <xf numFmtId="0" fontId="16" fillId="0" borderId="1" xfId="0" applyNumberFormat="1" applyFont="1" applyBorder="1" applyAlignment="1" applyProtection="1">
      <alignment vertical="center"/>
    </xf>
    <xf numFmtId="0" fontId="16" fillId="0" borderId="7" xfId="0" applyNumberFormat="1" applyFont="1" applyBorder="1" applyAlignment="1" applyProtection="1">
      <alignment vertical="center"/>
    </xf>
    <xf numFmtId="0" fontId="0" fillId="0" borderId="1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7" xfId="0" applyNumberFormat="1" applyBorder="1" applyAlignment="1" applyProtection="1">
      <alignment vertical="center"/>
    </xf>
    <xf numFmtId="0" fontId="0" fillId="0" borderId="8" xfId="0" applyNumberFormat="1" applyFill="1" applyBorder="1" applyAlignment="1" applyProtection="1">
      <alignment vertical="center"/>
    </xf>
    <xf numFmtId="0" fontId="0" fillId="0" borderId="9" xfId="0" applyNumberFormat="1" applyFill="1" applyBorder="1" applyAlignment="1" applyProtection="1">
      <alignment vertical="center"/>
    </xf>
    <xf numFmtId="0" fontId="0" fillId="0" borderId="9" xfId="0" applyNumberFormat="1" applyFill="1" applyBorder="1" applyAlignment="1" applyProtection="1">
      <alignment horizontal="center" vertical="center"/>
    </xf>
    <xf numFmtId="0" fontId="0" fillId="0" borderId="8" xfId="0" applyNumberFormat="1" applyFill="1" applyBorder="1" applyAlignment="1" applyProtection="1">
      <alignment horizontal="center" vertical="center"/>
    </xf>
    <xf numFmtId="0" fontId="0" fillId="0" borderId="10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19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horizontal="center" vertical="center"/>
    </xf>
    <xf numFmtId="1" fontId="1" fillId="0" borderId="0" xfId="3" applyNumberFormat="1" applyFont="1" applyFill="1" applyBorder="1" applyAlignment="1" applyProtection="1">
      <alignment vertical="center"/>
    </xf>
    <xf numFmtId="0" fontId="8" fillId="0" borderId="23" xfId="1" applyBorder="1" applyAlignment="1" applyProtection="1">
      <alignment vertical="center" wrapText="1"/>
    </xf>
    <xf numFmtId="0" fontId="1" fillId="0" borderId="24" xfId="1" applyFont="1" applyBorder="1" applyAlignment="1" applyProtection="1">
      <alignment vertical="center"/>
    </xf>
    <xf numFmtId="0" fontId="8" fillId="0" borderId="23" xfId="1" applyFont="1" applyBorder="1" applyAlignment="1" applyProtection="1">
      <alignment vertical="center" wrapText="1"/>
    </xf>
    <xf numFmtId="0" fontId="1" fillId="0" borderId="24" xfId="0" applyFont="1" applyBorder="1" applyAlignment="1" applyProtection="1">
      <alignment vertical="center"/>
    </xf>
    <xf numFmtId="0" fontId="0" fillId="0" borderId="23" xfId="0" applyBorder="1" applyAlignment="1" applyProtection="1">
      <alignment vertical="center" wrapText="1"/>
    </xf>
    <xf numFmtId="0" fontId="1" fillId="0" borderId="24" xfId="1" applyFont="1" applyBorder="1" applyAlignment="1" applyProtection="1">
      <alignment vertical="center" wrapText="1"/>
    </xf>
    <xf numFmtId="0" fontId="1" fillId="0" borderId="25" xfId="1" applyFont="1" applyBorder="1" applyAlignment="1" applyProtection="1">
      <alignment vertical="center"/>
    </xf>
    <xf numFmtId="0" fontId="8" fillId="0" borderId="26" xfId="1" applyBorder="1" applyAlignment="1" applyProtection="1">
      <alignment vertical="center" wrapText="1"/>
    </xf>
    <xf numFmtId="0" fontId="1" fillId="0" borderId="27" xfId="1" applyFont="1" applyBorder="1" applyAlignment="1" applyProtection="1">
      <alignment horizontal="left" vertical="center"/>
      <protection hidden="1"/>
    </xf>
    <xf numFmtId="0" fontId="8" fillId="0" borderId="28" xfId="1" applyBorder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vertical="center"/>
    </xf>
    <xf numFmtId="0" fontId="2" fillId="0" borderId="2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4" fillId="0" borderId="18" xfId="3" applyNumberFormat="1" applyFont="1" applyFill="1" applyBorder="1" applyAlignment="1" applyProtection="1">
      <alignment vertical="center"/>
      <protection hidden="1"/>
    </xf>
    <xf numFmtId="1" fontId="31" fillId="0" borderId="0" xfId="0" applyNumberFormat="1" applyFont="1" applyProtection="1"/>
    <xf numFmtId="1" fontId="31" fillId="0" borderId="0" xfId="0" applyNumberFormat="1" applyFont="1" applyAlignment="1" applyProtection="1">
      <alignment horizontal="left"/>
    </xf>
    <xf numFmtId="1" fontId="2" fillId="0" borderId="0" xfId="0" applyNumberFormat="1" applyFont="1" applyAlignment="1" applyProtection="1">
      <alignment vertical="center"/>
    </xf>
    <xf numFmtId="1" fontId="32" fillId="0" borderId="0" xfId="0" applyNumberFormat="1" applyFont="1" applyAlignment="1" applyProtection="1">
      <alignment vertical="center"/>
    </xf>
    <xf numFmtId="0" fontId="2" fillId="0" borderId="23" xfId="1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49" fontId="4" fillId="3" borderId="4" xfId="0" applyNumberFormat="1" applyFont="1" applyFill="1" applyBorder="1" applyAlignment="1" applyProtection="1">
      <alignment horizontal="center" vertical="center"/>
    </xf>
    <xf numFmtId="49" fontId="4" fillId="3" borderId="5" xfId="0" applyNumberFormat="1" applyFont="1" applyFill="1" applyBorder="1" applyAlignment="1" applyProtection="1">
      <alignment horizontal="center" vertical="center"/>
    </xf>
    <xf numFmtId="49" fontId="4" fillId="3" borderId="29" xfId="0" applyNumberFormat="1" applyFont="1" applyFill="1" applyBorder="1" applyAlignment="1" applyProtection="1">
      <alignment horizontal="center" vertical="center"/>
    </xf>
    <xf numFmtId="49" fontId="4" fillId="3" borderId="30" xfId="0" applyNumberFormat="1" applyFont="1" applyFill="1" applyBorder="1" applyAlignment="1" applyProtection="1">
      <alignment horizontal="center" vertical="center"/>
    </xf>
    <xf numFmtId="49" fontId="4" fillId="3" borderId="34" xfId="0" applyNumberFormat="1" applyFont="1" applyFill="1" applyBorder="1" applyAlignment="1" applyProtection="1">
      <alignment horizontal="center" vertical="center"/>
    </xf>
    <xf numFmtId="3" fontId="6" fillId="0" borderId="30" xfId="0" applyNumberFormat="1" applyFont="1" applyFill="1" applyBorder="1" applyAlignment="1" applyProtection="1">
      <alignment horizontal="center" vertical="center"/>
    </xf>
    <xf numFmtId="3" fontId="6" fillId="0" borderId="35" xfId="0" applyNumberFormat="1" applyFont="1" applyFill="1" applyBorder="1" applyAlignment="1" applyProtection="1">
      <alignment horizontal="center" vertical="center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19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3" fontId="6" fillId="2" borderId="20" xfId="0" applyNumberFormat="1" applyFont="1" applyFill="1" applyBorder="1" applyAlignment="1" applyProtection="1">
      <alignment horizontal="center" vertical="center"/>
      <protection locked="0"/>
    </xf>
    <xf numFmtId="3" fontId="6" fillId="2" borderId="21" xfId="0" applyNumberFormat="1" applyFont="1" applyFill="1" applyBorder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30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0" borderId="29" xfId="0" applyNumberFormat="1" applyFont="1" applyBorder="1" applyAlignment="1" applyProtection="1">
      <alignment horizontal="center" vertical="center"/>
    </xf>
    <xf numFmtId="2" fontId="2" fillId="0" borderId="30" xfId="0" applyNumberFormat="1" applyFont="1" applyBorder="1" applyAlignment="1" applyProtection="1">
      <alignment horizontal="center" vertical="center"/>
    </xf>
    <xf numFmtId="2" fontId="2" fillId="0" borderId="34" xfId="0" applyNumberFormat="1" applyFont="1" applyBorder="1" applyAlignment="1" applyProtection="1">
      <alignment horizontal="center" vertical="center"/>
    </xf>
    <xf numFmtId="2" fontId="2" fillId="0" borderId="33" xfId="0" applyNumberFormat="1" applyFont="1" applyBorder="1" applyAlignment="1" applyProtection="1">
      <alignment horizontal="center" vertical="center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center" vertical="center"/>
      <protection locked="0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5" xfId="0" applyNumberFormat="1" applyFont="1" applyFill="1" applyBorder="1" applyAlignment="1" applyProtection="1">
      <alignment horizontal="center" vertical="center"/>
      <protection locked="0"/>
    </xf>
    <xf numFmtId="2" fontId="2" fillId="0" borderId="44" xfId="0" applyNumberFormat="1" applyFont="1" applyBorder="1" applyAlignment="1" applyProtection="1">
      <alignment horizontal="center" vertical="center"/>
    </xf>
    <xf numFmtId="2" fontId="2" fillId="0" borderId="42" xfId="0" applyNumberFormat="1" applyFont="1" applyBorder="1" applyAlignment="1" applyProtection="1">
      <alignment horizontal="center" vertical="center"/>
    </xf>
    <xf numFmtId="2" fontId="2" fillId="0" borderId="45" xfId="0" applyNumberFormat="1" applyFont="1" applyBorder="1" applyAlignment="1" applyProtection="1">
      <alignment horizontal="center" vertical="center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2" fontId="2" fillId="0" borderId="31" xfId="0" applyNumberFormat="1" applyFont="1" applyBorder="1" applyAlignment="1" applyProtection="1">
      <alignment horizontal="center" vertical="center"/>
    </xf>
    <xf numFmtId="2" fontId="2" fillId="0" borderId="19" xfId="0" applyNumberFormat="1" applyFont="1" applyBorder="1" applyAlignment="1" applyProtection="1">
      <alignment horizontal="center" vertical="center"/>
    </xf>
    <xf numFmtId="2" fontId="2" fillId="0" borderId="32" xfId="0" applyNumberFormat="1" applyFont="1" applyBorder="1" applyAlignment="1" applyProtection="1">
      <alignment horizontal="center" vertical="center"/>
    </xf>
    <xf numFmtId="2" fontId="2" fillId="2" borderId="20" xfId="0" applyNumberFormat="1" applyFon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0" borderId="20" xfId="0" applyNumberFormat="1" applyFont="1" applyBorder="1" applyAlignment="1" applyProtection="1">
      <alignment horizontal="center" vertical="center"/>
    </xf>
    <xf numFmtId="2" fontId="2" fillId="2" borderId="21" xfId="0" applyNumberFormat="1" applyFont="1" applyFill="1" applyBorder="1" applyAlignment="1" applyProtection="1">
      <alignment horizontal="center" vertical="center"/>
      <protection locked="0"/>
    </xf>
    <xf numFmtId="3" fontId="6" fillId="0" borderId="37" xfId="0" applyNumberFormat="1" applyFont="1" applyFill="1" applyBorder="1" applyAlignment="1" applyProtection="1">
      <alignment horizontal="center" vertical="center"/>
    </xf>
    <xf numFmtId="3" fontId="6" fillId="0" borderId="39" xfId="0" applyNumberFormat="1" applyFont="1" applyFill="1" applyBorder="1" applyAlignment="1" applyProtection="1">
      <alignment horizontal="center" vertical="center"/>
    </xf>
    <xf numFmtId="0" fontId="4" fillId="0" borderId="40" xfId="3" applyFont="1" applyBorder="1" applyAlignment="1" applyProtection="1">
      <alignment horizontal="center" vertical="center"/>
      <protection hidden="1"/>
    </xf>
    <xf numFmtId="0" fontId="4" fillId="0" borderId="37" xfId="3" applyFont="1" applyBorder="1" applyAlignment="1" applyProtection="1">
      <alignment horizontal="center" vertical="center"/>
      <protection hidden="1"/>
    </xf>
    <xf numFmtId="0" fontId="4" fillId="0" borderId="39" xfId="3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2" fontId="2" fillId="0" borderId="41" xfId="0" applyNumberFormat="1" applyFont="1" applyBorder="1" applyAlignment="1" applyProtection="1">
      <alignment horizontal="center" vertical="center"/>
    </xf>
    <xf numFmtId="49" fontId="4" fillId="3" borderId="41" xfId="0" applyNumberFormat="1" applyFont="1" applyFill="1" applyBorder="1" applyAlignment="1" applyProtection="1">
      <alignment horizontal="center" vertical="center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45" xfId="0" applyNumberFormat="1" applyFont="1" applyFill="1" applyBorder="1" applyAlignment="1" applyProtection="1">
      <alignment horizontal="center" vertical="center"/>
    </xf>
    <xf numFmtId="3" fontId="6" fillId="0" borderId="42" xfId="0" applyNumberFormat="1" applyFont="1" applyFill="1" applyBorder="1" applyAlignment="1" applyProtection="1">
      <alignment horizontal="center" vertical="center"/>
    </xf>
    <xf numFmtId="3" fontId="6" fillId="0" borderId="43" xfId="0" applyNumberFormat="1" applyFont="1" applyFill="1" applyBorder="1" applyAlignment="1" applyProtection="1">
      <alignment horizontal="center" vertical="center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9" xfId="0" applyNumberFormat="1" applyFont="1" applyFill="1" applyBorder="1" applyAlignment="1" applyProtection="1">
      <alignment horizontal="center" vertical="center"/>
      <protection locked="0"/>
    </xf>
    <xf numFmtId="3" fontId="6" fillId="2" borderId="12" xfId="0" applyNumberFormat="1" applyFont="1" applyFill="1" applyBorder="1" applyAlignment="1" applyProtection="1">
      <alignment horizontal="center" vertical="center"/>
      <protection locked="0"/>
    </xf>
    <xf numFmtId="3" fontId="6" fillId="2" borderId="11" xfId="0" applyNumberFormat="1" applyFont="1" applyFill="1" applyBorder="1" applyAlignment="1" applyProtection="1">
      <alignment horizontal="center" vertical="center"/>
      <protection locked="0"/>
    </xf>
    <xf numFmtId="3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7" fillId="0" borderId="44" xfId="0" applyFont="1" applyBorder="1" applyAlignment="1" applyProtection="1">
      <alignment horizontal="center" vertical="center"/>
    </xf>
    <xf numFmtId="0" fontId="7" fillId="0" borderId="42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33" xfId="0" applyNumberFormat="1" applyFont="1" applyFill="1" applyBorder="1" applyAlignment="1" applyProtection="1">
      <alignment horizontal="center" vertical="center"/>
      <protection locked="0"/>
    </xf>
    <xf numFmtId="0" fontId="1" fillId="2" borderId="34" xfId="0" applyNumberFormat="1" applyFont="1" applyFill="1" applyBorder="1" applyAlignment="1" applyProtection="1">
      <alignment horizontal="center" vertical="center"/>
      <protection locked="0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41" xfId="0" applyFont="1" applyBorder="1" applyAlignment="1" applyProtection="1">
      <alignment horizontal="center" vertical="center"/>
    </xf>
    <xf numFmtId="0" fontId="19" fillId="0" borderId="22" xfId="2" applyNumberFormat="1" applyFont="1" applyFill="1" applyBorder="1" applyAlignment="1" applyProtection="1">
      <alignment horizontal="center" vertical="center"/>
      <protection hidden="1"/>
    </xf>
    <xf numFmtId="0" fontId="19" fillId="0" borderId="0" xfId="2" applyNumberFormat="1" applyFont="1" applyFill="1" applyBorder="1" applyAlignment="1" applyProtection="1">
      <alignment horizontal="center" vertical="center"/>
      <protection hidden="1"/>
    </xf>
    <xf numFmtId="0" fontId="19" fillId="0" borderId="18" xfId="2" applyNumberFormat="1" applyFont="1" applyFill="1" applyBorder="1" applyAlignment="1" applyProtection="1">
      <alignment horizontal="center" vertical="center"/>
      <protection hidden="1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8" xfId="3" applyNumberFormat="1" applyFont="1" applyFill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3" fillId="0" borderId="5" xfId="3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24" fillId="0" borderId="46" xfId="3" applyFont="1" applyBorder="1" applyAlignment="1" applyProtection="1">
      <alignment horizontal="center" vertical="center"/>
      <protection hidden="1"/>
    </xf>
    <xf numFmtId="0" fontId="24" fillId="0" borderId="47" xfId="3" applyFont="1" applyBorder="1" applyAlignment="1" applyProtection="1">
      <alignment horizontal="center" vertical="center"/>
      <protection hidden="1"/>
    </xf>
    <xf numFmtId="0" fontId="24" fillId="0" borderId="48" xfId="3" applyFont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</xf>
    <xf numFmtId="49" fontId="0" fillId="2" borderId="0" xfId="0" applyNumberFormat="1" applyFill="1" applyBorder="1" applyAlignment="1" applyProtection="1">
      <alignment horizontal="center" vertical="center"/>
      <protection locked="0"/>
    </xf>
    <xf numFmtId="3" fontId="6" fillId="2" borderId="40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5" xfId="0" applyFont="1" applyBorder="1" applyAlignment="1" applyProtection="1">
      <alignment horizontal="center" vertical="center" textRotation="90" wrapText="1"/>
    </xf>
    <xf numFmtId="0" fontId="7" fillId="0" borderId="6" xfId="0" applyFont="1" applyBorder="1" applyAlignment="1" applyProtection="1">
      <alignment horizontal="center" vertical="center" textRotation="90" wrapText="1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7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30" xfId="0" applyNumberFormat="1" applyFont="1" applyFill="1" applyBorder="1" applyAlignment="1" applyProtection="1">
      <alignment horizontal="center" vertical="center"/>
      <protection locked="0"/>
    </xf>
    <xf numFmtId="3" fontId="2" fillId="2" borderId="34" xfId="0" applyNumberFormat="1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0" fontId="20" fillId="0" borderId="0" xfId="0" applyNumberFormat="1" applyFont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1" fillId="2" borderId="0" xfId="3" applyNumberFormat="1" applyFont="1" applyFill="1" applyBorder="1" applyAlignment="1" applyProtection="1">
      <alignment horizontal="center" vertical="center"/>
      <protection hidden="1"/>
    </xf>
    <xf numFmtId="3" fontId="2" fillId="2" borderId="33" xfId="0" applyNumberFormat="1" applyFont="1" applyFill="1" applyBorder="1" applyAlignment="1" applyProtection="1">
      <alignment horizontal="center" vertical="center"/>
    </xf>
    <xf numFmtId="3" fontId="2" fillId="2" borderId="30" xfId="0" applyNumberFormat="1" applyFont="1" applyFill="1" applyBorder="1" applyAlignment="1" applyProtection="1">
      <alignment horizontal="center" vertical="center"/>
    </xf>
    <xf numFmtId="3" fontId="2" fillId="2" borderId="34" xfId="0" applyNumberFormat="1" applyFont="1" applyFill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</xf>
    <xf numFmtId="0" fontId="7" fillId="2" borderId="30" xfId="0" applyFont="1" applyFill="1" applyBorder="1" applyAlignment="1" applyProtection="1">
      <alignment horizontal="center" vertical="center"/>
    </xf>
    <xf numFmtId="0" fontId="7" fillId="2" borderId="35" xfId="0" applyFont="1" applyFill="1" applyBorder="1" applyAlignment="1" applyProtection="1">
      <alignment horizontal="center" vertical="center"/>
    </xf>
    <xf numFmtId="1" fontId="6" fillId="2" borderId="14" xfId="0" applyNumberFormat="1" applyFont="1" applyFill="1" applyBorder="1" applyAlignment="1" applyProtection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/>
    </xf>
    <xf numFmtId="1" fontId="6" fillId="2" borderId="13" xfId="0" applyNumberFormat="1" applyFont="1" applyFill="1" applyBorder="1" applyAlignment="1" applyProtection="1">
      <alignment horizontal="center" vertical="center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0" xfId="0" applyNumberFormat="1" applyFont="1" applyFill="1" applyBorder="1" applyAlignment="1" applyProtection="1">
      <alignment horizontal="center" vertical="center"/>
      <protection locked="0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ill="1" applyBorder="1" applyAlignment="1" applyProtection="1">
      <alignment horizontal="center" vertical="center"/>
    </xf>
    <xf numFmtId="0" fontId="1" fillId="0" borderId="0" xfId="3" applyFont="1" applyBorder="1" applyAlignment="1" applyProtection="1">
      <alignment horizontal="center" vertical="center"/>
      <protection hidden="1"/>
    </xf>
    <xf numFmtId="0" fontId="2" fillId="2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right" vertical="center"/>
    </xf>
    <xf numFmtId="1" fontId="1" fillId="0" borderId="0" xfId="3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  <protection hidden="1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3" fontId="6" fillId="2" borderId="42" xfId="0" applyNumberFormat="1" applyFont="1" applyFill="1" applyBorder="1" applyAlignment="1" applyProtection="1">
      <alignment horizontal="center" vertical="center"/>
      <protection locked="0"/>
    </xf>
    <xf numFmtId="3" fontId="6" fillId="2" borderId="43" xfId="0" applyNumberFormat="1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1" fillId="2" borderId="33" xfId="0" applyNumberFormat="1" applyFont="1" applyFill="1" applyBorder="1" applyAlignment="1" applyProtection="1">
      <alignment horizontal="center" vertical="center"/>
      <protection hidden="1"/>
    </xf>
    <xf numFmtId="0" fontId="1" fillId="2" borderId="34" xfId="0" applyNumberFormat="1" applyFont="1" applyFill="1" applyBorder="1" applyAlignment="1" applyProtection="1">
      <alignment horizontal="center" vertical="center"/>
      <protection hidden="1"/>
    </xf>
    <xf numFmtId="0" fontId="1" fillId="2" borderId="46" xfId="1" applyFont="1" applyFill="1" applyBorder="1" applyAlignment="1" applyProtection="1">
      <alignment horizontal="left" vertical="center" wrapText="1"/>
    </xf>
    <xf numFmtId="0" fontId="1" fillId="2" borderId="48" xfId="1" applyFont="1" applyFill="1" applyBorder="1" applyAlignment="1" applyProtection="1">
      <alignment horizontal="left" vertical="center" wrapText="1"/>
    </xf>
  </cellXfs>
  <cellStyles count="4">
    <cellStyle name="Standard" xfId="0" builtinId="0"/>
    <cellStyle name="Standard_Abnahmemessung von einer Seite" xfId="1"/>
    <cellStyle name="Standard_Gf-Meßprotokoll" xfId="2"/>
    <cellStyle name="Standard_Messprotokoll4" xfId="3"/>
  </cellStyles>
  <dxfs count="9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85725</xdr:colOff>
      <xdr:row>57</xdr:row>
      <xdr:rowOff>47625</xdr:rowOff>
    </xdr:from>
    <xdr:to>
      <xdr:col>63</xdr:col>
      <xdr:colOff>19050</xdr:colOff>
      <xdr:row>60</xdr:row>
      <xdr:rowOff>6484</xdr:rowOff>
    </xdr:to>
    <xdr:pic macro="[0]!Grafik1_Klicken"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0420350"/>
          <a:ext cx="1295400" cy="625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DS115"/>
  <sheetViews>
    <sheetView showGridLines="0" showRowColHeaders="0" topLeftCell="A25" workbookViewId="0">
      <selection activeCell="BC49" sqref="BC49:BG49"/>
    </sheetView>
  </sheetViews>
  <sheetFormatPr baseColWidth="10" defaultRowHeight="12.75"/>
  <cols>
    <col min="1" max="1" width="2.7109375" style="10" customWidth="1"/>
    <col min="2" max="69" width="1.5703125" style="10" customWidth="1"/>
    <col min="70" max="121" width="1.7109375" style="10" customWidth="1"/>
    <col min="122" max="122" width="2.7109375" style="10" hidden="1" customWidth="1"/>
    <col min="123" max="123" width="1.7109375" style="10" hidden="1" customWidth="1"/>
    <col min="124" max="168" width="1.7109375" style="10" customWidth="1"/>
    <col min="169" max="16384" width="11.42578125" style="10"/>
  </cols>
  <sheetData>
    <row r="1" spans="2:69" ht="18.95" customHeight="1" thickBot="1"/>
    <row r="2" spans="2:69" ht="35.1" customHeight="1" thickBot="1">
      <c r="B2" s="285" t="s">
        <v>117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7"/>
      <c r="BH2" s="288" t="s">
        <v>17</v>
      </c>
      <c r="BI2" s="289"/>
      <c r="BJ2" s="289"/>
      <c r="BK2" s="289"/>
      <c r="BL2" s="289"/>
      <c r="BM2" s="289"/>
      <c r="BN2" s="289"/>
      <c r="BO2" s="289"/>
      <c r="BP2" s="289"/>
      <c r="BQ2" s="290"/>
    </row>
    <row r="3" spans="2:69" ht="24.95" customHeight="1" thickBot="1">
      <c r="B3" s="294" t="s">
        <v>18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  <c r="AZ3" s="295"/>
      <c r="BA3" s="295"/>
      <c r="BB3" s="295"/>
      <c r="BC3" s="295"/>
      <c r="BD3" s="295"/>
      <c r="BE3" s="295"/>
      <c r="BF3" s="295"/>
      <c r="BG3" s="296"/>
      <c r="BH3" s="291"/>
      <c r="BI3" s="292"/>
      <c r="BJ3" s="292"/>
      <c r="BK3" s="292"/>
      <c r="BL3" s="292"/>
      <c r="BM3" s="292"/>
      <c r="BN3" s="292"/>
      <c r="BO3" s="292"/>
      <c r="BP3" s="292"/>
      <c r="BQ3" s="293"/>
    </row>
    <row r="4" spans="2:69" ht="4.5" customHeight="1" thickBot="1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0"/>
      <c r="AY4" s="50"/>
      <c r="AZ4" s="50"/>
      <c r="BA4" s="50"/>
      <c r="BB4" s="50"/>
      <c r="BC4" s="50"/>
      <c r="BD4" s="50"/>
      <c r="BE4" s="50"/>
      <c r="BF4" s="50"/>
      <c r="BG4" s="49"/>
    </row>
    <row r="5" spans="2:69" ht="4.5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2"/>
      <c r="BI5" s="13"/>
      <c r="BJ5" s="13"/>
      <c r="BK5" s="13"/>
      <c r="BL5" s="13"/>
      <c r="BM5" s="13"/>
      <c r="BN5" s="13"/>
      <c r="BO5" s="13"/>
      <c r="BP5" s="13"/>
      <c r="BQ5" s="14"/>
    </row>
    <row r="6" spans="2:69" ht="20.100000000000001" customHeight="1">
      <c r="B6" s="132"/>
      <c r="C6" s="133"/>
      <c r="D6" s="78" t="s">
        <v>19</v>
      </c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4"/>
      <c r="AI6" s="133"/>
      <c r="AJ6" s="133"/>
      <c r="AK6" s="133"/>
      <c r="AL6" s="134"/>
      <c r="AM6" s="134"/>
      <c r="AN6" s="134"/>
      <c r="AO6" s="134"/>
      <c r="AP6" s="78"/>
      <c r="AQ6" s="78"/>
      <c r="AR6" s="78" t="s">
        <v>20</v>
      </c>
      <c r="AS6" s="145"/>
      <c r="AT6" s="78"/>
      <c r="AU6" s="78"/>
      <c r="AV6" s="78"/>
      <c r="AW6" s="78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5"/>
      <c r="BI6" s="78" t="s">
        <v>6</v>
      </c>
      <c r="BJ6" s="134"/>
      <c r="BK6" s="134"/>
      <c r="BL6" s="134"/>
      <c r="BM6" s="134"/>
      <c r="BN6" s="134"/>
      <c r="BO6" s="134"/>
      <c r="BP6" s="134"/>
      <c r="BQ6" s="136"/>
    </row>
    <row r="7" spans="2:69" ht="20.100000000000001" customHeight="1">
      <c r="B7" s="137"/>
      <c r="C7" s="138"/>
      <c r="D7" s="297" t="s">
        <v>163</v>
      </c>
      <c r="E7" s="297"/>
      <c r="F7" s="297"/>
      <c r="G7" s="297"/>
      <c r="H7" s="297"/>
      <c r="I7" s="297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  <c r="V7" s="297"/>
      <c r="W7" s="297"/>
      <c r="X7" s="297"/>
      <c r="Y7" s="297"/>
      <c r="Z7" s="297"/>
      <c r="AA7" s="297"/>
      <c r="AB7" s="297"/>
      <c r="AC7" s="297"/>
      <c r="AD7" s="297"/>
      <c r="AE7" s="297"/>
      <c r="AF7" s="297"/>
      <c r="AG7" s="297"/>
      <c r="AH7" s="297"/>
      <c r="AI7" s="297"/>
      <c r="AJ7" s="297"/>
      <c r="AK7" s="297"/>
      <c r="AL7" s="297"/>
      <c r="AM7" s="138"/>
      <c r="AN7" s="138"/>
      <c r="AO7" s="138"/>
      <c r="AP7" s="138"/>
      <c r="AQ7" s="138"/>
      <c r="AR7" s="303" t="s">
        <v>162</v>
      </c>
      <c r="AS7" s="303"/>
      <c r="AT7" s="303"/>
      <c r="AU7" s="303"/>
      <c r="AV7" s="303"/>
      <c r="AW7" s="303"/>
      <c r="AX7" s="303"/>
      <c r="AY7" s="303"/>
      <c r="AZ7" s="303"/>
      <c r="BA7" s="303"/>
      <c r="BB7" s="303"/>
      <c r="BC7" s="303"/>
      <c r="BD7" s="303"/>
      <c r="BE7" s="303"/>
      <c r="BF7" s="303"/>
      <c r="BG7" s="138"/>
      <c r="BH7" s="137"/>
      <c r="BI7" s="299">
        <v>1</v>
      </c>
      <c r="BJ7" s="299"/>
      <c r="BK7" s="298" t="s">
        <v>5</v>
      </c>
      <c r="BL7" s="298"/>
      <c r="BM7" s="298"/>
      <c r="BN7" s="299">
        <v>2</v>
      </c>
      <c r="BO7" s="299"/>
      <c r="BP7" s="39"/>
      <c r="BQ7" s="139"/>
    </row>
    <row r="8" spans="2:69" ht="4.5" customHeight="1" thickBot="1">
      <c r="B8" s="140"/>
      <c r="C8" s="141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1"/>
      <c r="AN8" s="141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3"/>
      <c r="BI8" s="142"/>
      <c r="BJ8" s="142"/>
      <c r="BK8" s="142"/>
      <c r="BL8" s="142"/>
      <c r="BM8" s="142"/>
      <c r="BN8" s="142"/>
      <c r="BO8" s="142"/>
      <c r="BP8" s="142"/>
      <c r="BQ8" s="144"/>
    </row>
    <row r="9" spans="2:69" ht="4.5" customHeight="1" thickBot="1"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</row>
    <row r="10" spans="2:69" s="11" customFormat="1" ht="4.5" customHeight="1"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60"/>
    </row>
    <row r="11" spans="2:69" s="31" customFormat="1" ht="20.100000000000001" customHeight="1">
      <c r="B11" s="61"/>
      <c r="C11" s="62"/>
      <c r="D11" s="63" t="s">
        <v>149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R11" s="64"/>
      <c r="S11" s="64"/>
      <c r="T11" s="266" t="s">
        <v>2</v>
      </c>
      <c r="U11" s="266"/>
      <c r="V11" s="266"/>
      <c r="W11" s="266"/>
      <c r="X11" s="301"/>
      <c r="Y11" s="301"/>
      <c r="Z11" s="301"/>
      <c r="AA11" s="301"/>
      <c r="AB11" s="301"/>
      <c r="AC11" s="344"/>
      <c r="AD11" s="344"/>
      <c r="AE11" s="266" t="s">
        <v>158</v>
      </c>
      <c r="AF11" s="266"/>
      <c r="AG11" s="266"/>
      <c r="AH11" s="266"/>
      <c r="AI11" s="301"/>
      <c r="AJ11" s="301"/>
      <c r="AK11" s="301"/>
      <c r="AL11" s="65"/>
      <c r="AM11" s="66"/>
      <c r="AN11" s="266" t="s">
        <v>71</v>
      </c>
      <c r="AO11" s="266"/>
      <c r="AP11" s="266"/>
      <c r="AQ11" s="266"/>
      <c r="AR11" s="301"/>
      <c r="AS11" s="301"/>
      <c r="AT11" s="301"/>
      <c r="AU11" s="65"/>
      <c r="AV11" s="66"/>
      <c r="AW11" s="66"/>
      <c r="AX11" s="266" t="s">
        <v>151</v>
      </c>
      <c r="AY11" s="266"/>
      <c r="AZ11" s="266"/>
      <c r="BA11" s="266"/>
      <c r="BB11" s="266"/>
      <c r="BC11" s="302">
        <f>IF(AI11=1,1,0)+IF(AI11=2,9,0)+IF(AI11=3,17,0)+IF(AI11=4,25,0)+IF(AI11=5,33,0)+IF(AI11=6,41,0)+IF(AI11=7,49,0)+IF(AI11=8,57,0)+IF(AI11=11,65,0)+IF(AI11=12,73,0)+IF(AI11=13,81,0)+IF(AI11=14,89,0)+IF(AI11=15,97,0)+IF(AI11=16,105,0)+IF(AI11=17,113,0)+IF(AI11=18,121,0)+AR11</f>
        <v>0</v>
      </c>
      <c r="BD11" s="302"/>
      <c r="BE11" s="302"/>
      <c r="BF11" s="302"/>
      <c r="BG11" s="64"/>
      <c r="BH11" s="63"/>
      <c r="BI11" s="62"/>
      <c r="BJ11" s="62"/>
      <c r="BK11" s="62"/>
      <c r="BL11" s="62"/>
      <c r="BM11" s="62"/>
      <c r="BN11" s="79"/>
      <c r="BO11" s="79"/>
      <c r="BP11" s="79"/>
      <c r="BQ11" s="67"/>
    </row>
    <row r="12" spans="2:69" s="31" customFormat="1" ht="4.5" customHeight="1">
      <c r="B12" s="61"/>
      <c r="C12" s="62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2"/>
      <c r="BI12" s="62"/>
      <c r="BJ12" s="62"/>
      <c r="BK12" s="62"/>
      <c r="BL12" s="62"/>
      <c r="BM12" s="62"/>
      <c r="BN12" s="62"/>
      <c r="BO12" s="62"/>
      <c r="BP12" s="62"/>
      <c r="BQ12" s="67"/>
    </row>
    <row r="13" spans="2:69" s="31" customFormat="1" ht="20.100000000000001" customHeight="1">
      <c r="B13" s="61"/>
      <c r="C13" s="62"/>
      <c r="D13" s="63" t="s">
        <v>150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8"/>
      <c r="S13" s="65"/>
      <c r="T13" s="265" t="s">
        <v>65</v>
      </c>
      <c r="U13" s="265"/>
      <c r="V13" s="265"/>
      <c r="W13" s="265"/>
      <c r="X13" s="301" t="s">
        <v>164</v>
      </c>
      <c r="Y13" s="301"/>
      <c r="Z13" s="301"/>
      <c r="AA13" s="301"/>
      <c r="AB13" s="301"/>
      <c r="AC13" s="66"/>
      <c r="AD13" s="66"/>
      <c r="AE13" s="266" t="s">
        <v>37</v>
      </c>
      <c r="AF13" s="266"/>
      <c r="AG13" s="266"/>
      <c r="AH13" s="266"/>
      <c r="AI13" s="301">
        <v>14</v>
      </c>
      <c r="AJ13" s="301"/>
      <c r="AK13" s="301"/>
      <c r="AL13" s="66"/>
      <c r="AM13" s="66"/>
      <c r="AN13" s="266" t="s">
        <v>87</v>
      </c>
      <c r="AO13" s="266"/>
      <c r="AP13" s="266"/>
      <c r="AQ13" s="68" t="s">
        <v>66</v>
      </c>
      <c r="AR13" s="301">
        <v>1068</v>
      </c>
      <c r="AS13" s="301"/>
      <c r="AT13" s="301"/>
      <c r="AU13" s="66"/>
      <c r="AV13" s="66"/>
      <c r="AW13" s="66"/>
      <c r="AX13" s="265" t="s">
        <v>88</v>
      </c>
      <c r="AY13" s="265"/>
      <c r="AZ13" s="265"/>
      <c r="BA13" s="265"/>
      <c r="BB13" s="265"/>
      <c r="BC13" s="301">
        <v>2</v>
      </c>
      <c r="BD13" s="301"/>
      <c r="BE13" s="301"/>
      <c r="BF13" s="301"/>
      <c r="BG13" s="64"/>
      <c r="BH13" s="62"/>
      <c r="BI13" s="62"/>
      <c r="BJ13" s="62"/>
      <c r="BK13" s="62"/>
      <c r="BL13" s="62"/>
      <c r="BM13" s="62"/>
      <c r="BN13" s="62"/>
      <c r="BO13" s="62"/>
      <c r="BP13" s="62"/>
      <c r="BQ13" s="67"/>
    </row>
    <row r="14" spans="2:69" s="31" customFormat="1" ht="4.5" customHeight="1">
      <c r="B14" s="61"/>
      <c r="C14" s="62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4"/>
      <c r="BH14" s="64"/>
      <c r="BI14" s="62"/>
      <c r="BJ14" s="62"/>
      <c r="BK14" s="62"/>
      <c r="BL14" s="62"/>
      <c r="BM14" s="62"/>
      <c r="BN14" s="62"/>
      <c r="BO14" s="62"/>
      <c r="BP14" s="62"/>
      <c r="BQ14" s="67"/>
    </row>
    <row r="15" spans="2:69" s="31" customFormat="1" ht="4.5" customHeight="1" thickBot="1">
      <c r="B15" s="69"/>
      <c r="C15" s="70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0"/>
      <c r="BJ15" s="70"/>
      <c r="BK15" s="70"/>
      <c r="BL15" s="70"/>
      <c r="BM15" s="70"/>
      <c r="BN15" s="70"/>
      <c r="BO15" s="70"/>
      <c r="BP15" s="70"/>
      <c r="BQ15" s="72"/>
    </row>
    <row r="16" spans="2:69" s="31" customFormat="1" ht="4.5" customHeight="1" thickBot="1">
      <c r="B16" s="66"/>
      <c r="C16" s="66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66"/>
      <c r="BJ16" s="66"/>
      <c r="BK16" s="66"/>
      <c r="BL16" s="66"/>
      <c r="BM16" s="66"/>
      <c r="BN16" s="66"/>
      <c r="BO16" s="66"/>
      <c r="BP16" s="66"/>
      <c r="BQ16" s="66"/>
    </row>
    <row r="17" spans="2:69" s="31" customFormat="1" ht="4.5" customHeight="1">
      <c r="B17" s="74"/>
      <c r="C17" s="75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5"/>
      <c r="BJ17" s="75"/>
      <c r="BK17" s="75"/>
      <c r="BL17" s="75"/>
      <c r="BM17" s="75"/>
      <c r="BN17" s="75"/>
      <c r="BO17" s="75"/>
      <c r="BP17" s="75"/>
      <c r="BQ17" s="77"/>
    </row>
    <row r="18" spans="2:69" s="31" customFormat="1" ht="20.100000000000001" customHeight="1">
      <c r="B18" s="61"/>
      <c r="C18" s="62"/>
      <c r="D18" s="63" t="s">
        <v>114</v>
      </c>
      <c r="E18" s="64"/>
      <c r="F18" s="64"/>
      <c r="G18" s="64"/>
      <c r="H18" s="64"/>
      <c r="I18" s="64"/>
      <c r="J18" s="64"/>
      <c r="K18" s="64"/>
      <c r="L18" s="63" t="s">
        <v>115</v>
      </c>
      <c r="N18" s="64"/>
      <c r="O18" s="64"/>
      <c r="P18" s="64"/>
      <c r="Q18" s="64"/>
      <c r="R18" s="64"/>
      <c r="S18" s="300" t="s">
        <v>152</v>
      </c>
      <c r="T18" s="300"/>
      <c r="U18" s="300"/>
      <c r="V18" s="300"/>
      <c r="W18" s="300"/>
      <c r="X18" s="300"/>
      <c r="Y18" s="300"/>
      <c r="Z18" s="300"/>
      <c r="AA18" s="300"/>
      <c r="AB18" s="300"/>
      <c r="AC18" s="64"/>
      <c r="AD18" s="64"/>
      <c r="AE18" s="78" t="s">
        <v>35</v>
      </c>
      <c r="AF18" s="62"/>
      <c r="AG18" s="64"/>
      <c r="AH18" s="64"/>
      <c r="AI18" s="64"/>
      <c r="AJ18" s="64"/>
      <c r="AK18" s="270"/>
      <c r="AL18" s="270"/>
      <c r="AM18" s="270"/>
      <c r="AN18" s="270"/>
      <c r="AO18" s="270"/>
      <c r="AP18" s="270"/>
      <c r="AQ18" s="270"/>
      <c r="AR18" s="270"/>
      <c r="AS18" s="270"/>
      <c r="AT18" s="64"/>
      <c r="AU18" s="78" t="s">
        <v>36</v>
      </c>
      <c r="AV18" s="64"/>
      <c r="AW18" s="64"/>
      <c r="AX18" s="64"/>
      <c r="AY18" s="64"/>
      <c r="AZ18" s="64"/>
      <c r="BA18" s="64"/>
      <c r="BB18" s="64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65"/>
      <c r="BO18" s="65"/>
      <c r="BP18" s="65"/>
      <c r="BQ18" s="67"/>
    </row>
    <row r="19" spans="2:69" s="31" customFormat="1" ht="4.5" customHeight="1">
      <c r="B19" s="61"/>
      <c r="C19" s="62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2"/>
      <c r="BJ19" s="62"/>
      <c r="BK19" s="62"/>
      <c r="BL19" s="62"/>
      <c r="BM19" s="62"/>
      <c r="BN19" s="79"/>
      <c r="BO19" s="79"/>
      <c r="BP19" s="62"/>
      <c r="BQ19" s="67"/>
    </row>
    <row r="20" spans="2:69" s="31" customFormat="1" ht="20.100000000000001" customHeight="1">
      <c r="B20" s="61"/>
      <c r="C20" s="62"/>
      <c r="D20" s="63" t="s">
        <v>116</v>
      </c>
      <c r="E20" s="64"/>
      <c r="F20" s="64"/>
      <c r="G20" s="64"/>
      <c r="H20" s="64"/>
      <c r="I20" s="64"/>
      <c r="J20" s="64"/>
      <c r="K20" s="64"/>
      <c r="L20" s="63" t="s">
        <v>115</v>
      </c>
      <c r="M20" s="64"/>
      <c r="N20" s="64"/>
      <c r="O20" s="64"/>
      <c r="P20" s="64"/>
      <c r="Q20" s="64"/>
      <c r="R20" s="64"/>
      <c r="S20" s="300" t="s">
        <v>153</v>
      </c>
      <c r="T20" s="300"/>
      <c r="U20" s="300"/>
      <c r="V20" s="300"/>
      <c r="W20" s="300"/>
      <c r="X20" s="300"/>
      <c r="Y20" s="300"/>
      <c r="Z20" s="300"/>
      <c r="AA20" s="300"/>
      <c r="AB20" s="300"/>
      <c r="AC20" s="64"/>
      <c r="AD20" s="64"/>
      <c r="AE20" s="78" t="s">
        <v>35</v>
      </c>
      <c r="AF20" s="62"/>
      <c r="AG20" s="64"/>
      <c r="AH20" s="64"/>
      <c r="AI20" s="64"/>
      <c r="AJ20" s="64"/>
      <c r="AK20" s="270"/>
      <c r="AL20" s="270"/>
      <c r="AM20" s="270"/>
      <c r="AN20" s="270"/>
      <c r="AO20" s="270"/>
      <c r="AP20" s="270"/>
      <c r="AQ20" s="270"/>
      <c r="AR20" s="270"/>
      <c r="AS20" s="270"/>
      <c r="AT20" s="64"/>
      <c r="AU20" s="78" t="s">
        <v>36</v>
      </c>
      <c r="AV20" s="64"/>
      <c r="AW20" s="64"/>
      <c r="AX20" s="64"/>
      <c r="AY20" s="64"/>
      <c r="AZ20" s="64"/>
      <c r="BA20" s="64"/>
      <c r="BB20" s="64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65"/>
      <c r="BO20" s="65"/>
      <c r="BP20" s="65"/>
      <c r="BQ20" s="67"/>
    </row>
    <row r="21" spans="2:69" s="31" customFormat="1" ht="4.5" customHeight="1" thickBot="1">
      <c r="B21" s="69"/>
      <c r="C21" s="70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0"/>
      <c r="BJ21" s="70"/>
      <c r="BK21" s="70"/>
      <c r="BL21" s="70"/>
      <c r="BM21" s="70"/>
      <c r="BN21" s="70"/>
      <c r="BO21" s="70"/>
      <c r="BP21" s="70"/>
      <c r="BQ21" s="72"/>
    </row>
    <row r="22" spans="2:69" s="31" customFormat="1" ht="4.5" customHeight="1" thickBot="1">
      <c r="B22" s="66"/>
      <c r="C22" s="66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64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66"/>
      <c r="BJ22" s="66"/>
      <c r="BK22" s="66"/>
      <c r="BL22" s="66"/>
      <c r="BM22" s="66"/>
      <c r="BN22" s="66"/>
      <c r="BO22" s="66"/>
      <c r="BP22" s="66"/>
      <c r="BQ22" s="66"/>
    </row>
    <row r="23" spans="2:69" s="31" customFormat="1" ht="4.5" customHeight="1">
      <c r="B23" s="74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80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81"/>
      <c r="AM23" s="75"/>
      <c r="AN23" s="75"/>
      <c r="AO23" s="75"/>
      <c r="AP23" s="75"/>
      <c r="AQ23" s="75"/>
      <c r="AR23" s="80"/>
      <c r="AS23" s="81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7"/>
    </row>
    <row r="24" spans="2:69" s="31" customFormat="1" ht="17.100000000000001" customHeight="1">
      <c r="B24" s="61"/>
      <c r="C24" s="78" t="s">
        <v>28</v>
      </c>
      <c r="D24" s="62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2"/>
      <c r="Q24" s="62"/>
      <c r="R24" s="82"/>
      <c r="S24" s="62"/>
      <c r="T24" s="164" t="s">
        <v>136</v>
      </c>
      <c r="U24" s="164"/>
      <c r="V24" s="164"/>
      <c r="W24" s="164"/>
      <c r="X24" s="164"/>
      <c r="Y24" s="164"/>
      <c r="Z24" s="164"/>
      <c r="AA24" s="79"/>
      <c r="AB24" s="79"/>
      <c r="AC24" s="85"/>
      <c r="AD24" s="85"/>
      <c r="AE24" s="84"/>
      <c r="AF24" s="162"/>
      <c r="AG24" s="330"/>
      <c r="AH24" s="331"/>
      <c r="AI24" s="332"/>
      <c r="AJ24" s="333" t="s">
        <v>137</v>
      </c>
      <c r="AK24" s="334"/>
      <c r="AL24" s="283" t="s">
        <v>134</v>
      </c>
      <c r="AM24" s="260"/>
      <c r="AN24" s="260"/>
      <c r="AO24" s="260"/>
      <c r="AP24" s="260"/>
      <c r="AQ24" s="260"/>
      <c r="AR24" s="284"/>
      <c r="AS24" s="261" t="s">
        <v>64</v>
      </c>
      <c r="AT24" s="262"/>
      <c r="AU24" s="262"/>
      <c r="AV24" s="262"/>
      <c r="AW24" s="262"/>
      <c r="AX24" s="262"/>
      <c r="AY24" s="262"/>
      <c r="AZ24" s="262"/>
      <c r="BA24" s="262"/>
      <c r="BB24" s="262"/>
      <c r="BC24" s="79"/>
      <c r="BD24" s="79"/>
      <c r="BE24" s="79"/>
      <c r="BF24" s="79"/>
      <c r="BG24" s="85"/>
      <c r="BH24" s="85"/>
      <c r="BI24" s="84"/>
      <c r="BJ24" s="68"/>
      <c r="BK24" s="68"/>
      <c r="BL24" s="68"/>
      <c r="BM24" s="68"/>
      <c r="BN24" s="63"/>
      <c r="BO24" s="63"/>
      <c r="BP24" s="63"/>
      <c r="BQ24" s="67"/>
    </row>
    <row r="25" spans="2:69" s="31" customFormat="1" ht="17.100000000000001" customHeight="1">
      <c r="B25" s="61"/>
      <c r="C25" s="78" t="s">
        <v>30</v>
      </c>
      <c r="D25" s="62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2"/>
      <c r="Q25" s="78"/>
      <c r="R25" s="82"/>
      <c r="S25" s="62"/>
      <c r="T25" s="164" t="s">
        <v>138</v>
      </c>
      <c r="U25" s="62"/>
      <c r="V25" s="78"/>
      <c r="W25" s="64"/>
      <c r="X25" s="84"/>
      <c r="Y25" s="84"/>
      <c r="Z25" s="84"/>
      <c r="AA25" s="84"/>
      <c r="AB25" s="86"/>
      <c r="AC25" s="30"/>
      <c r="AD25" s="30"/>
      <c r="AE25" s="335">
        <v>1049.5999999999999</v>
      </c>
      <c r="AF25" s="336"/>
      <c r="AG25" s="336"/>
      <c r="AH25" s="336"/>
      <c r="AI25" s="337"/>
      <c r="AJ25" s="333" t="s">
        <v>137</v>
      </c>
      <c r="AK25" s="334"/>
      <c r="AL25" s="280" t="s">
        <v>135</v>
      </c>
      <c r="AM25" s="281"/>
      <c r="AN25" s="281"/>
      <c r="AO25" s="281"/>
      <c r="AP25" s="281"/>
      <c r="AQ25" s="281"/>
      <c r="AR25" s="282"/>
      <c r="AS25" s="263" t="s">
        <v>128</v>
      </c>
      <c r="AT25" s="264"/>
      <c r="AU25" s="264"/>
      <c r="AV25" s="264"/>
      <c r="AW25" s="264"/>
      <c r="AX25" s="264"/>
      <c r="AY25" s="264"/>
      <c r="AZ25" s="264"/>
      <c r="BA25" s="264" t="s">
        <v>129</v>
      </c>
      <c r="BB25" s="264"/>
      <c r="BC25" s="264"/>
      <c r="BD25" s="264"/>
      <c r="BE25" s="264"/>
      <c r="BF25" s="264"/>
      <c r="BG25" s="264"/>
      <c r="BH25" s="264"/>
      <c r="BI25" s="264" t="s">
        <v>130</v>
      </c>
      <c r="BJ25" s="264"/>
      <c r="BK25" s="264"/>
      <c r="BL25" s="264"/>
      <c r="BM25" s="264"/>
      <c r="BN25" s="264"/>
      <c r="BO25" s="264"/>
      <c r="BP25" s="264"/>
      <c r="BQ25" s="67"/>
    </row>
    <row r="26" spans="2:69" s="31" customFormat="1" ht="4.5" customHeight="1">
      <c r="B26" s="61"/>
      <c r="C26" s="62"/>
      <c r="D26" s="78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2"/>
      <c r="Q26" s="78"/>
      <c r="R26" s="82"/>
      <c r="S26" s="88"/>
      <c r="T26" s="88"/>
      <c r="U26" s="88"/>
      <c r="V26" s="89"/>
      <c r="W26" s="90"/>
      <c r="X26" s="91"/>
      <c r="Y26" s="91"/>
      <c r="Z26" s="91"/>
      <c r="AA26" s="91"/>
      <c r="AB26" s="92"/>
      <c r="AC26" s="92"/>
      <c r="AD26" s="86"/>
      <c r="AE26" s="64"/>
      <c r="AF26" s="62"/>
      <c r="AG26" s="62"/>
      <c r="AH26" s="119"/>
      <c r="AI26" s="62"/>
      <c r="AJ26" s="62"/>
      <c r="AK26" s="62"/>
      <c r="AL26" s="163"/>
      <c r="AM26" s="62"/>
      <c r="AN26" s="120"/>
      <c r="AO26" s="121"/>
      <c r="AP26" s="87"/>
      <c r="AQ26" s="164"/>
      <c r="AR26" s="165"/>
      <c r="AS26" s="94"/>
      <c r="AT26" s="93"/>
      <c r="AU26" s="88"/>
      <c r="AV26" s="88"/>
      <c r="AW26" s="88"/>
      <c r="AX26" s="88"/>
      <c r="AY26" s="95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96"/>
      <c r="BK26" s="96"/>
      <c r="BL26" s="146"/>
      <c r="BM26" s="146"/>
      <c r="BN26" s="96"/>
      <c r="BO26" s="96"/>
      <c r="BP26" s="96"/>
      <c r="BQ26" s="97"/>
    </row>
    <row r="27" spans="2:69" s="31" customFormat="1" ht="4.5" customHeight="1">
      <c r="B27" s="61"/>
      <c r="C27" s="62"/>
      <c r="D27" s="78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2"/>
      <c r="Q27" s="78"/>
      <c r="R27" s="82"/>
      <c r="S27" s="98"/>
      <c r="T27" s="98"/>
      <c r="U27" s="98"/>
      <c r="V27" s="99"/>
      <c r="W27" s="100"/>
      <c r="X27" s="101"/>
      <c r="Y27" s="101"/>
      <c r="Z27" s="101"/>
      <c r="AA27" s="101"/>
      <c r="AB27" s="102"/>
      <c r="AC27" s="102"/>
      <c r="AD27" s="103"/>
      <c r="AE27" s="100"/>
      <c r="AF27" s="98"/>
      <c r="AG27" s="98"/>
      <c r="AH27" s="104"/>
      <c r="AI27" s="98"/>
      <c r="AJ27" s="98"/>
      <c r="AK27" s="98"/>
      <c r="AL27" s="98"/>
      <c r="AM27" s="98"/>
      <c r="AN27" s="105"/>
      <c r="AO27" s="106"/>
      <c r="AP27" s="107"/>
      <c r="AQ27" s="108"/>
      <c r="AR27" s="109"/>
      <c r="AS27" s="110"/>
      <c r="AT27" s="104"/>
      <c r="AU27" s="98"/>
      <c r="AV27" s="98"/>
      <c r="AW27" s="98"/>
      <c r="AX27" s="98"/>
      <c r="AY27" s="111"/>
      <c r="AZ27" s="98"/>
      <c r="BA27" s="98"/>
      <c r="BB27" s="98"/>
      <c r="BC27" s="98"/>
      <c r="BD27" s="112"/>
      <c r="BE27" s="98"/>
      <c r="BF27" s="98"/>
      <c r="BG27" s="98"/>
      <c r="BH27" s="98"/>
      <c r="BI27" s="98"/>
      <c r="BJ27" s="113"/>
      <c r="BK27" s="113"/>
      <c r="BL27" s="147"/>
      <c r="BM27" s="147"/>
      <c r="BN27" s="113"/>
      <c r="BO27" s="113"/>
      <c r="BP27" s="113"/>
      <c r="BQ27" s="114"/>
    </row>
    <row r="28" spans="2:69" s="31" customFormat="1" ht="17.100000000000001" customHeight="1">
      <c r="B28" s="61"/>
      <c r="C28" s="83" t="s">
        <v>25</v>
      </c>
      <c r="D28" s="115" t="s">
        <v>32</v>
      </c>
      <c r="E28" s="62"/>
      <c r="F28" s="84"/>
      <c r="G28" s="115"/>
      <c r="H28" s="115"/>
      <c r="I28" s="84" t="s">
        <v>23</v>
      </c>
      <c r="J28" s="62"/>
      <c r="K28" s="260">
        <v>0.36</v>
      </c>
      <c r="L28" s="260"/>
      <c r="M28" s="260"/>
      <c r="N28" s="78" t="s">
        <v>33</v>
      </c>
      <c r="O28" s="62"/>
      <c r="P28" s="62"/>
      <c r="Q28" s="78"/>
      <c r="R28" s="116"/>
      <c r="S28" s="62"/>
      <c r="T28" s="78" t="s">
        <v>29</v>
      </c>
      <c r="U28" s="62"/>
      <c r="V28" s="64"/>
      <c r="W28" s="84"/>
      <c r="X28" s="84"/>
      <c r="Y28" s="84"/>
      <c r="Z28" s="84"/>
      <c r="AA28" s="86"/>
      <c r="AB28" s="86"/>
      <c r="AC28" s="86"/>
      <c r="AD28" s="117"/>
      <c r="AE28" s="78" t="s">
        <v>22</v>
      </c>
      <c r="AF28" s="84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82"/>
      <c r="AS28" s="148"/>
      <c r="AT28" s="62"/>
      <c r="AU28" s="63" t="s">
        <v>89</v>
      </c>
      <c r="AV28" s="62"/>
      <c r="AW28" s="62"/>
      <c r="AX28" s="62"/>
      <c r="AY28" s="62"/>
      <c r="AZ28" s="62"/>
      <c r="BA28" s="62"/>
      <c r="BB28" s="62"/>
      <c r="BC28" s="62"/>
      <c r="BD28" s="82"/>
      <c r="BE28" s="62"/>
      <c r="BF28" s="62"/>
      <c r="BG28" s="62"/>
      <c r="BH28" s="62"/>
      <c r="BI28" s="63" t="s">
        <v>90</v>
      </c>
      <c r="BJ28" s="118"/>
      <c r="BK28" s="118"/>
      <c r="BL28" s="62"/>
      <c r="BM28" s="62"/>
      <c r="BN28" s="118"/>
      <c r="BO28" s="118"/>
      <c r="BP28" s="118"/>
      <c r="BQ28" s="67"/>
    </row>
    <row r="29" spans="2:69" s="31" customFormat="1" ht="17.100000000000001" customHeight="1">
      <c r="B29" s="61"/>
      <c r="C29" s="83" t="s">
        <v>25</v>
      </c>
      <c r="D29" s="115" t="s">
        <v>60</v>
      </c>
      <c r="E29" s="62"/>
      <c r="F29" s="84"/>
      <c r="G29" s="115"/>
      <c r="H29" s="115"/>
      <c r="I29" s="84" t="s">
        <v>23</v>
      </c>
      <c r="J29" s="62"/>
      <c r="K29" s="260">
        <v>0.24</v>
      </c>
      <c r="L29" s="260"/>
      <c r="M29" s="260"/>
      <c r="N29" s="78" t="s">
        <v>33</v>
      </c>
      <c r="O29" s="62"/>
      <c r="P29" s="62"/>
      <c r="Q29" s="78"/>
      <c r="R29" s="116"/>
      <c r="S29" s="64"/>
      <c r="T29" s="78" t="s">
        <v>31</v>
      </c>
      <c r="U29" s="62"/>
      <c r="V29" s="64"/>
      <c r="W29" s="84"/>
      <c r="X29" s="84"/>
      <c r="Y29" s="84"/>
      <c r="Z29" s="84"/>
      <c r="AA29" s="86"/>
      <c r="AB29" s="86"/>
      <c r="AC29" s="86"/>
      <c r="AD29" s="117"/>
      <c r="AE29" s="119" t="s">
        <v>24</v>
      </c>
      <c r="AF29" s="62"/>
      <c r="AG29" s="62"/>
      <c r="AH29" s="62"/>
      <c r="AI29" s="62"/>
      <c r="AJ29" s="62"/>
      <c r="AK29" s="120" t="s">
        <v>25</v>
      </c>
      <c r="AL29" s="121" t="s">
        <v>26</v>
      </c>
      <c r="AM29" s="87" t="s">
        <v>23</v>
      </c>
      <c r="AN29" s="260">
        <v>0.25</v>
      </c>
      <c r="AO29" s="260"/>
      <c r="AP29" s="260"/>
      <c r="AQ29" s="119" t="s">
        <v>0</v>
      </c>
      <c r="AR29" s="82"/>
      <c r="AS29" s="122"/>
      <c r="AT29" s="62"/>
      <c r="AU29" s="123" t="s">
        <v>91</v>
      </c>
      <c r="AV29" s="123"/>
      <c r="AW29" s="123"/>
      <c r="AX29" s="62"/>
      <c r="AY29" s="271"/>
      <c r="AZ29" s="272"/>
      <c r="BA29" s="149"/>
      <c r="BB29" s="149"/>
      <c r="BC29" s="62"/>
      <c r="BD29" s="82"/>
      <c r="BE29" s="62"/>
      <c r="BF29" s="62"/>
      <c r="BG29" s="62"/>
      <c r="BH29" s="62"/>
      <c r="BI29" s="266" t="s">
        <v>93</v>
      </c>
      <c r="BJ29" s="266"/>
      <c r="BK29" s="266"/>
      <c r="BL29" s="62"/>
      <c r="BM29" s="62"/>
      <c r="BN29" s="271"/>
      <c r="BO29" s="272"/>
      <c r="BP29" s="149"/>
      <c r="BQ29" s="67"/>
    </row>
    <row r="30" spans="2:69" s="31" customFormat="1" ht="17.100000000000001" customHeight="1">
      <c r="B30" s="61"/>
      <c r="C30" s="83" t="s">
        <v>25</v>
      </c>
      <c r="D30" s="115" t="s">
        <v>34</v>
      </c>
      <c r="E30" s="62"/>
      <c r="F30" s="84"/>
      <c r="G30" s="115"/>
      <c r="H30" s="115"/>
      <c r="I30" s="84" t="s">
        <v>23</v>
      </c>
      <c r="J30" s="62"/>
      <c r="K30" s="260">
        <v>0.25</v>
      </c>
      <c r="L30" s="260"/>
      <c r="M30" s="260"/>
      <c r="N30" s="78" t="s">
        <v>33</v>
      </c>
      <c r="O30" s="62"/>
      <c r="P30" s="78"/>
      <c r="Q30" s="84"/>
      <c r="R30" s="124"/>
      <c r="S30" s="62"/>
      <c r="T30" s="125" t="s">
        <v>25</v>
      </c>
      <c r="U30" s="126" t="s">
        <v>27</v>
      </c>
      <c r="V30" s="87" t="s">
        <v>23</v>
      </c>
      <c r="W30" s="260">
        <v>0.2</v>
      </c>
      <c r="X30" s="260"/>
      <c r="Y30" s="260"/>
      <c r="Z30" s="78" t="s">
        <v>33</v>
      </c>
      <c r="AA30" s="62"/>
      <c r="AB30" s="78"/>
      <c r="AC30" s="78"/>
      <c r="AD30" s="127"/>
      <c r="AE30" s="62"/>
      <c r="AF30" s="62"/>
      <c r="AG30" s="62"/>
      <c r="AH30" s="62"/>
      <c r="AI30" s="62"/>
      <c r="AJ30" s="62"/>
      <c r="AK30" s="128" t="s">
        <v>42</v>
      </c>
      <c r="AL30" s="62"/>
      <c r="AM30" s="129" t="s">
        <v>23</v>
      </c>
      <c r="AN30" s="273">
        <v>1</v>
      </c>
      <c r="AO30" s="273"/>
      <c r="AP30" s="273"/>
      <c r="AQ30" s="62"/>
      <c r="AR30" s="82"/>
      <c r="AS30" s="122"/>
      <c r="AT30" s="62"/>
      <c r="AU30" s="123" t="s">
        <v>92</v>
      </c>
      <c r="AV30" s="123"/>
      <c r="AW30" s="123"/>
      <c r="AX30" s="62"/>
      <c r="AY30" s="271" t="s">
        <v>159</v>
      </c>
      <c r="AZ30" s="272"/>
      <c r="BA30" s="149"/>
      <c r="BB30" s="149"/>
      <c r="BC30" s="62"/>
      <c r="BD30" s="82"/>
      <c r="BE30" s="62"/>
      <c r="BF30" s="62"/>
      <c r="BG30" s="62"/>
      <c r="BH30" s="62"/>
      <c r="BI30" s="266" t="s">
        <v>92</v>
      </c>
      <c r="BJ30" s="266"/>
      <c r="BK30" s="266"/>
      <c r="BL30" s="62"/>
      <c r="BM30" s="62"/>
      <c r="BN30" s="271"/>
      <c r="BO30" s="272"/>
      <c r="BP30" s="149"/>
      <c r="BQ30" s="67"/>
    </row>
    <row r="31" spans="2:69" s="31" customFormat="1" ht="4.5" customHeight="1" thickBot="1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41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40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41"/>
      <c r="AS31" s="40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41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4"/>
    </row>
    <row r="32" spans="2:69" s="31" customFormat="1" ht="4.5" customHeight="1" thickBot="1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</row>
    <row r="33" spans="2:123" s="31" customFormat="1" ht="18.95" customHeight="1">
      <c r="B33" s="322" t="s">
        <v>94</v>
      </c>
      <c r="C33" s="323"/>
      <c r="D33" s="324"/>
      <c r="E33" s="322" t="s">
        <v>95</v>
      </c>
      <c r="F33" s="323"/>
      <c r="G33" s="324"/>
      <c r="H33" s="322" t="s">
        <v>96</v>
      </c>
      <c r="I33" s="323"/>
      <c r="J33" s="324"/>
      <c r="K33" s="328" t="s">
        <v>97</v>
      </c>
      <c r="L33" s="256"/>
      <c r="M33" s="256"/>
      <c r="N33" s="256"/>
      <c r="O33" s="306" t="s">
        <v>147</v>
      </c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8"/>
      <c r="AB33" s="342" t="s">
        <v>141</v>
      </c>
      <c r="AC33" s="342"/>
      <c r="AD33" s="342"/>
      <c r="AE33" s="342"/>
      <c r="AF33" s="342"/>
      <c r="AG33" s="342"/>
      <c r="AH33" s="343"/>
      <c r="AI33" s="256" t="s">
        <v>139</v>
      </c>
      <c r="AJ33" s="256"/>
      <c r="AK33" s="256"/>
      <c r="AL33" s="256"/>
      <c r="AM33" s="257"/>
      <c r="AN33" s="338" t="s">
        <v>132</v>
      </c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339"/>
      <c r="AZ33" s="339"/>
      <c r="BA33" s="339"/>
      <c r="BB33" s="339"/>
      <c r="BC33" s="339"/>
      <c r="BD33" s="339"/>
      <c r="BE33" s="339"/>
      <c r="BF33" s="339"/>
      <c r="BG33" s="339"/>
      <c r="BH33" s="339"/>
      <c r="BI33" s="339"/>
      <c r="BJ33" s="339"/>
      <c r="BK33" s="339"/>
      <c r="BL33" s="339"/>
      <c r="BM33" s="339"/>
      <c r="BN33" s="339"/>
      <c r="BO33" s="339"/>
      <c r="BP33" s="339"/>
      <c r="BQ33" s="340"/>
    </row>
    <row r="34" spans="2:123" s="31" customFormat="1" ht="18.95" customHeight="1">
      <c r="B34" s="325"/>
      <c r="C34" s="326"/>
      <c r="D34" s="327"/>
      <c r="E34" s="325"/>
      <c r="F34" s="326"/>
      <c r="G34" s="327"/>
      <c r="H34" s="325"/>
      <c r="I34" s="326"/>
      <c r="J34" s="327"/>
      <c r="K34" s="329"/>
      <c r="L34" s="258"/>
      <c r="M34" s="258"/>
      <c r="N34" s="258"/>
      <c r="O34" s="309" t="s">
        <v>160</v>
      </c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1"/>
      <c r="AB34" s="251" t="s">
        <v>3</v>
      </c>
      <c r="AC34" s="251"/>
      <c r="AD34" s="312"/>
      <c r="AE34" s="250" t="s">
        <v>140</v>
      </c>
      <c r="AF34" s="251"/>
      <c r="AG34" s="251"/>
      <c r="AH34" s="252"/>
      <c r="AI34" s="258"/>
      <c r="AJ34" s="258"/>
      <c r="AK34" s="258"/>
      <c r="AL34" s="258"/>
      <c r="AM34" s="259"/>
      <c r="AN34" s="341" t="s">
        <v>1</v>
      </c>
      <c r="AO34" s="276"/>
      <c r="AP34" s="276"/>
      <c r="AQ34" s="276"/>
      <c r="AR34" s="276"/>
      <c r="AS34" s="276"/>
      <c r="AT34" s="276"/>
      <c r="AU34" s="276"/>
      <c r="AV34" s="276"/>
      <c r="AW34" s="277"/>
      <c r="AX34" s="275" t="s">
        <v>43</v>
      </c>
      <c r="AY34" s="276"/>
      <c r="AZ34" s="276"/>
      <c r="BA34" s="276"/>
      <c r="BB34" s="276"/>
      <c r="BC34" s="276"/>
      <c r="BD34" s="276"/>
      <c r="BE34" s="276"/>
      <c r="BF34" s="276"/>
      <c r="BG34" s="277"/>
      <c r="BH34" s="275" t="s">
        <v>21</v>
      </c>
      <c r="BI34" s="276"/>
      <c r="BJ34" s="276"/>
      <c r="BK34" s="276"/>
      <c r="BL34" s="276"/>
      <c r="BM34" s="276"/>
      <c r="BN34" s="276"/>
      <c r="BO34" s="276"/>
      <c r="BP34" s="276"/>
      <c r="BQ34" s="278"/>
    </row>
    <row r="35" spans="2:123" s="31" customFormat="1" ht="18.95" customHeight="1" thickBot="1">
      <c r="B35" s="325"/>
      <c r="C35" s="326"/>
      <c r="D35" s="327"/>
      <c r="E35" s="325"/>
      <c r="F35" s="326"/>
      <c r="G35" s="327"/>
      <c r="H35" s="325"/>
      <c r="I35" s="326"/>
      <c r="J35" s="327"/>
      <c r="K35" s="329"/>
      <c r="L35" s="258"/>
      <c r="M35" s="258"/>
      <c r="N35" s="258"/>
      <c r="O35" s="279" t="s">
        <v>61</v>
      </c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9"/>
      <c r="AB35" s="254"/>
      <c r="AC35" s="254"/>
      <c r="AD35" s="313"/>
      <c r="AE35" s="253"/>
      <c r="AF35" s="254"/>
      <c r="AG35" s="254"/>
      <c r="AH35" s="255"/>
      <c r="AI35" s="254"/>
      <c r="AJ35" s="254"/>
      <c r="AK35" s="254"/>
      <c r="AL35" s="254"/>
      <c r="AM35" s="255"/>
      <c r="AN35" s="279" t="s">
        <v>62</v>
      </c>
      <c r="AO35" s="268"/>
      <c r="AP35" s="268"/>
      <c r="AQ35" s="268"/>
      <c r="AR35" s="274"/>
      <c r="AS35" s="267" t="s">
        <v>63</v>
      </c>
      <c r="AT35" s="268"/>
      <c r="AU35" s="268"/>
      <c r="AV35" s="268"/>
      <c r="AW35" s="274"/>
      <c r="AX35" s="267" t="s">
        <v>62</v>
      </c>
      <c r="AY35" s="268"/>
      <c r="AZ35" s="268"/>
      <c r="BA35" s="268"/>
      <c r="BB35" s="274"/>
      <c r="BC35" s="267" t="s">
        <v>63</v>
      </c>
      <c r="BD35" s="268"/>
      <c r="BE35" s="268"/>
      <c r="BF35" s="268"/>
      <c r="BG35" s="274"/>
      <c r="BH35" s="267" t="s">
        <v>62</v>
      </c>
      <c r="BI35" s="268"/>
      <c r="BJ35" s="268"/>
      <c r="BK35" s="268"/>
      <c r="BL35" s="274"/>
      <c r="BM35" s="267" t="s">
        <v>63</v>
      </c>
      <c r="BN35" s="268"/>
      <c r="BO35" s="268"/>
      <c r="BP35" s="268"/>
      <c r="BQ35" s="269"/>
      <c r="DQ35" s="169"/>
      <c r="DR35" s="169">
        <v>1</v>
      </c>
      <c r="DS35" s="169">
        <v>0</v>
      </c>
    </row>
    <row r="36" spans="2:123" s="31" customFormat="1" ht="21.95" customHeight="1" thickBot="1">
      <c r="B36" s="176" t="s">
        <v>44</v>
      </c>
      <c r="C36" s="177"/>
      <c r="D36" s="177"/>
      <c r="E36" s="318">
        <f>IF(AY29="x",1,IF(AY30="x",1,"-"))</f>
        <v>1</v>
      </c>
      <c r="F36" s="319"/>
      <c r="G36" s="320"/>
      <c r="H36" s="318" t="str">
        <f>IF(BN29="x",1,IF(BN30="x",1,"-"))</f>
        <v>-</v>
      </c>
      <c r="I36" s="319"/>
      <c r="J36" s="321"/>
      <c r="K36" s="204">
        <v>6825</v>
      </c>
      <c r="L36" s="205"/>
      <c r="M36" s="205"/>
      <c r="N36" s="206"/>
      <c r="O36" s="191" t="s">
        <v>177</v>
      </c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304">
        <v>1</v>
      </c>
      <c r="AC36" s="189"/>
      <c r="AD36" s="305"/>
      <c r="AE36" s="188"/>
      <c r="AF36" s="189"/>
      <c r="AG36" s="189"/>
      <c r="AH36" s="190"/>
      <c r="AI36" s="226">
        <f>AG24+AE25+AE36</f>
        <v>1049.5999999999999</v>
      </c>
      <c r="AJ36" s="226"/>
      <c r="AK36" s="226"/>
      <c r="AL36" s="226"/>
      <c r="AM36" s="227"/>
      <c r="AN36" s="218">
        <f>(K28+W30)*AI36/1000+(AN30*AN29)+IF(AI36&gt;0,1,0)+IF(AY29="x",10.5,0)+IF(BN29="x",7.1,0)+IF(AY30="x",17.1,0)+IF(BN30="x",17.1,0)</f>
        <v>18.937775999999999</v>
      </c>
      <c r="AO36" s="219"/>
      <c r="AP36" s="219"/>
      <c r="AQ36" s="219"/>
      <c r="AR36" s="220"/>
      <c r="AS36" s="221">
        <v>16.61</v>
      </c>
      <c r="AT36" s="222"/>
      <c r="AU36" s="222"/>
      <c r="AV36" s="222"/>
      <c r="AW36" s="223"/>
      <c r="AX36" s="224">
        <f t="shared" ref="AX36:AX51" si="0">AN36-(AI36*0.12/1000)</f>
        <v>18.811823999999998</v>
      </c>
      <c r="AY36" s="219"/>
      <c r="AZ36" s="219"/>
      <c r="BA36" s="219"/>
      <c r="BB36" s="220"/>
      <c r="BC36" s="221">
        <v>16.22</v>
      </c>
      <c r="BD36" s="222"/>
      <c r="BE36" s="222"/>
      <c r="BF36" s="222"/>
      <c r="BG36" s="223"/>
      <c r="BH36" s="224">
        <f t="shared" ref="BH36:BH51" si="1">AN36-(AI36*0.11/1000)</f>
        <v>18.822320000000001</v>
      </c>
      <c r="BI36" s="219"/>
      <c r="BJ36" s="219"/>
      <c r="BK36" s="219"/>
      <c r="BL36" s="220"/>
      <c r="BM36" s="221"/>
      <c r="BN36" s="222"/>
      <c r="BO36" s="222"/>
      <c r="BP36" s="222"/>
      <c r="BQ36" s="225"/>
      <c r="DQ36" s="169"/>
      <c r="DR36" s="169">
        <v>2</v>
      </c>
      <c r="DS36" s="169">
        <v>1</v>
      </c>
    </row>
    <row r="37" spans="2:123" s="31" customFormat="1" ht="21.95" customHeight="1" thickBot="1">
      <c r="B37" s="178" t="s">
        <v>45</v>
      </c>
      <c r="C37" s="179"/>
      <c r="D37" s="180"/>
      <c r="E37" s="193">
        <f>IF(AY29="x",1,IF(AY30="x",2,"-"))</f>
        <v>2</v>
      </c>
      <c r="F37" s="194"/>
      <c r="G37" s="196"/>
      <c r="H37" s="193" t="str">
        <f>IF(BN29="x",2,IF(BN30="x",2,"-"))</f>
        <v>-</v>
      </c>
      <c r="I37" s="194"/>
      <c r="J37" s="195"/>
      <c r="K37" s="204">
        <v>6826</v>
      </c>
      <c r="L37" s="205"/>
      <c r="M37" s="205"/>
      <c r="N37" s="206"/>
      <c r="O37" s="191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83"/>
      <c r="AC37" s="184"/>
      <c r="AD37" s="185"/>
      <c r="AE37" s="186"/>
      <c r="AF37" s="184"/>
      <c r="AG37" s="184"/>
      <c r="AH37" s="187"/>
      <c r="AI37" s="181">
        <f>AG24+AE25+AE37</f>
        <v>1049.5999999999999</v>
      </c>
      <c r="AJ37" s="181"/>
      <c r="AK37" s="181"/>
      <c r="AL37" s="181"/>
      <c r="AM37" s="182"/>
      <c r="AN37" s="200">
        <f>(K28+W30)*AI37/1000+(AN29*AN30)+IF(AI37&gt;0,1,0)+IF(AY29="x",10.5,0)+IF(BN29="x",7.1,0)+IF(AY30="x",17.1,0)+IF(BN30="x",17.1,0)</f>
        <v>18.937775999999999</v>
      </c>
      <c r="AO37" s="201"/>
      <c r="AP37" s="201"/>
      <c r="AQ37" s="201"/>
      <c r="AR37" s="202"/>
      <c r="AS37" s="197"/>
      <c r="AT37" s="198"/>
      <c r="AU37" s="198"/>
      <c r="AV37" s="198"/>
      <c r="AW37" s="199"/>
      <c r="AX37" s="203">
        <f t="shared" si="0"/>
        <v>18.811823999999998</v>
      </c>
      <c r="AY37" s="201"/>
      <c r="AZ37" s="201"/>
      <c r="BA37" s="201"/>
      <c r="BB37" s="202"/>
      <c r="BC37" s="197"/>
      <c r="BD37" s="198"/>
      <c r="BE37" s="198"/>
      <c r="BF37" s="198"/>
      <c r="BG37" s="199"/>
      <c r="BH37" s="203">
        <f t="shared" si="1"/>
        <v>18.822320000000001</v>
      </c>
      <c r="BI37" s="201"/>
      <c r="BJ37" s="201"/>
      <c r="BK37" s="201"/>
      <c r="BL37" s="202"/>
      <c r="BM37" s="197"/>
      <c r="BN37" s="198"/>
      <c r="BO37" s="198"/>
      <c r="BP37" s="198"/>
      <c r="BQ37" s="214"/>
      <c r="DQ37" s="169"/>
      <c r="DR37" s="169">
        <v>3</v>
      </c>
      <c r="DS37" s="169">
        <v>2</v>
      </c>
    </row>
    <row r="38" spans="2:123" s="31" customFormat="1" ht="21.95" customHeight="1" thickBot="1">
      <c r="B38" s="178" t="s">
        <v>46</v>
      </c>
      <c r="C38" s="179"/>
      <c r="D38" s="180"/>
      <c r="E38" s="193">
        <f>IF(AY29="x",1,IF(AY30="x",3,"-"))</f>
        <v>3</v>
      </c>
      <c r="F38" s="194"/>
      <c r="G38" s="196"/>
      <c r="H38" s="193" t="str">
        <f>IF(BN29="x",3,IF(BN30="x",3,"-"))</f>
        <v>-</v>
      </c>
      <c r="I38" s="194"/>
      <c r="J38" s="195"/>
      <c r="K38" s="204">
        <v>6827</v>
      </c>
      <c r="L38" s="205"/>
      <c r="M38" s="205"/>
      <c r="N38" s="206"/>
      <c r="O38" s="191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83"/>
      <c r="AC38" s="184"/>
      <c r="AD38" s="185"/>
      <c r="AE38" s="186"/>
      <c r="AF38" s="184"/>
      <c r="AG38" s="184"/>
      <c r="AH38" s="187"/>
      <c r="AI38" s="181">
        <f>AG24+AE25+AE38</f>
        <v>1049.5999999999999</v>
      </c>
      <c r="AJ38" s="181"/>
      <c r="AK38" s="181"/>
      <c r="AL38" s="181"/>
      <c r="AM38" s="182"/>
      <c r="AN38" s="200">
        <f>(K28+W30)*AI38/1000+(AN29*AN30)+IF(AI38&gt;0,1,0)+IF(AY29="x",10.5,0)+IF(BN29="x",7.1,0)+IF(AY30="x",17.1,0)+IF(BN30="x",17.1,0)</f>
        <v>18.937775999999999</v>
      </c>
      <c r="AO38" s="201"/>
      <c r="AP38" s="201"/>
      <c r="AQ38" s="201"/>
      <c r="AR38" s="202"/>
      <c r="AS38" s="197"/>
      <c r="AT38" s="198"/>
      <c r="AU38" s="198"/>
      <c r="AV38" s="198"/>
      <c r="AW38" s="199"/>
      <c r="AX38" s="203">
        <f t="shared" si="0"/>
        <v>18.811823999999998</v>
      </c>
      <c r="AY38" s="201"/>
      <c r="AZ38" s="201"/>
      <c r="BA38" s="201"/>
      <c r="BB38" s="202"/>
      <c r="BC38" s="197"/>
      <c r="BD38" s="198"/>
      <c r="BE38" s="198"/>
      <c r="BF38" s="198"/>
      <c r="BG38" s="199"/>
      <c r="BH38" s="203">
        <f t="shared" si="1"/>
        <v>18.822320000000001</v>
      </c>
      <c r="BI38" s="201"/>
      <c r="BJ38" s="201"/>
      <c r="BK38" s="201"/>
      <c r="BL38" s="202"/>
      <c r="BM38" s="197"/>
      <c r="BN38" s="198"/>
      <c r="BO38" s="198"/>
      <c r="BP38" s="198"/>
      <c r="BQ38" s="214"/>
      <c r="DQ38" s="169"/>
      <c r="DR38" s="169">
        <v>4</v>
      </c>
      <c r="DS38" s="169">
        <v>3</v>
      </c>
    </row>
    <row r="39" spans="2:123" s="31" customFormat="1" ht="21.95" customHeight="1" thickBot="1">
      <c r="B39" s="178" t="s">
        <v>47</v>
      </c>
      <c r="C39" s="179"/>
      <c r="D39" s="180"/>
      <c r="E39" s="193">
        <f>IF(AY29="x",1,IF(AY30="x",4,"-"))</f>
        <v>4</v>
      </c>
      <c r="F39" s="194"/>
      <c r="G39" s="196"/>
      <c r="H39" s="193" t="str">
        <f>IF(BN29="x",4,IF(BN30="x",4,"-"))</f>
        <v>-</v>
      </c>
      <c r="I39" s="194"/>
      <c r="J39" s="195"/>
      <c r="K39" s="204">
        <v>6828</v>
      </c>
      <c r="L39" s="205"/>
      <c r="M39" s="205"/>
      <c r="N39" s="206"/>
      <c r="O39" s="191" t="s">
        <v>165</v>
      </c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83">
        <v>1</v>
      </c>
      <c r="AC39" s="184"/>
      <c r="AD39" s="185"/>
      <c r="AE39" s="186"/>
      <c r="AF39" s="184"/>
      <c r="AG39" s="184"/>
      <c r="AH39" s="187"/>
      <c r="AI39" s="181">
        <f>AG24+AE25+AE39</f>
        <v>1049.5999999999999</v>
      </c>
      <c r="AJ39" s="181"/>
      <c r="AK39" s="181"/>
      <c r="AL39" s="181"/>
      <c r="AM39" s="182"/>
      <c r="AN39" s="200">
        <f>(K28+W30)*AI39/1000+(AN29*AN30)+IF(AI39&gt;0,1,0)+IF(AY29="x",10.5,0)+IF(BN29="x",7.1,0)+IF(AY30="x",17.1,0)+IF(BN30="x",17.1,0)</f>
        <v>18.937775999999999</v>
      </c>
      <c r="AO39" s="201"/>
      <c r="AP39" s="201"/>
      <c r="AQ39" s="201"/>
      <c r="AR39" s="202"/>
      <c r="AS39" s="197">
        <v>17.03</v>
      </c>
      <c r="AT39" s="198"/>
      <c r="AU39" s="198"/>
      <c r="AV39" s="198"/>
      <c r="AW39" s="199"/>
      <c r="AX39" s="203">
        <f t="shared" si="0"/>
        <v>18.811823999999998</v>
      </c>
      <c r="AY39" s="201"/>
      <c r="AZ39" s="201"/>
      <c r="BA39" s="201"/>
      <c r="BB39" s="202"/>
      <c r="BC39" s="197">
        <v>16.649999999999999</v>
      </c>
      <c r="BD39" s="198"/>
      <c r="BE39" s="198"/>
      <c r="BF39" s="198"/>
      <c r="BG39" s="199"/>
      <c r="BH39" s="203">
        <f t="shared" si="1"/>
        <v>18.822320000000001</v>
      </c>
      <c r="BI39" s="201"/>
      <c r="BJ39" s="201"/>
      <c r="BK39" s="201"/>
      <c r="BL39" s="202"/>
      <c r="BM39" s="197"/>
      <c r="BN39" s="198"/>
      <c r="BO39" s="198"/>
      <c r="BP39" s="198"/>
      <c r="BQ39" s="214"/>
      <c r="DQ39" s="169"/>
      <c r="DR39" s="169">
        <v>5</v>
      </c>
      <c r="DS39" s="169">
        <v>4</v>
      </c>
    </row>
    <row r="40" spans="2:123" s="31" customFormat="1" ht="21.95" customHeight="1" thickBot="1">
      <c r="B40" s="178" t="s">
        <v>48</v>
      </c>
      <c r="C40" s="179"/>
      <c r="D40" s="180"/>
      <c r="E40" s="193">
        <f>IF(AY29="x",2,IF(AY30="x",5,"-"))</f>
        <v>5</v>
      </c>
      <c r="F40" s="194"/>
      <c r="G40" s="196"/>
      <c r="H40" s="193" t="str">
        <f>IF(BN29="x",1,IF(BN30="x",5,"-"))</f>
        <v>-</v>
      </c>
      <c r="I40" s="194"/>
      <c r="J40" s="195"/>
      <c r="K40" s="204">
        <v>6829</v>
      </c>
      <c r="L40" s="205"/>
      <c r="M40" s="205"/>
      <c r="N40" s="206"/>
      <c r="O40" s="191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83"/>
      <c r="AC40" s="184"/>
      <c r="AD40" s="185"/>
      <c r="AE40" s="186"/>
      <c r="AF40" s="184"/>
      <c r="AG40" s="184"/>
      <c r="AH40" s="187"/>
      <c r="AI40" s="181">
        <f>AG24+AE25+AE40</f>
        <v>1049.5999999999999</v>
      </c>
      <c r="AJ40" s="181"/>
      <c r="AK40" s="181"/>
      <c r="AL40" s="181"/>
      <c r="AM40" s="182"/>
      <c r="AN40" s="200">
        <f>(K28+W30)*AI40/1000+(AN29*AN30)+IF(AI40&gt;0,1,0)+IF(AY29="x",10.5,0)+IF(BN29="x",7.1,0)+IF(AY30="x",17.1,0)+IF(BN30="x",17.1,0)</f>
        <v>18.937775999999999</v>
      </c>
      <c r="AO40" s="201"/>
      <c r="AP40" s="201"/>
      <c r="AQ40" s="201"/>
      <c r="AR40" s="202"/>
      <c r="AS40" s="197"/>
      <c r="AT40" s="198"/>
      <c r="AU40" s="198"/>
      <c r="AV40" s="198"/>
      <c r="AW40" s="199"/>
      <c r="AX40" s="203">
        <f t="shared" si="0"/>
        <v>18.811823999999998</v>
      </c>
      <c r="AY40" s="201"/>
      <c r="AZ40" s="201"/>
      <c r="BA40" s="201"/>
      <c r="BB40" s="202"/>
      <c r="BC40" s="197"/>
      <c r="BD40" s="198"/>
      <c r="BE40" s="198"/>
      <c r="BF40" s="198"/>
      <c r="BG40" s="199"/>
      <c r="BH40" s="203">
        <f t="shared" si="1"/>
        <v>18.822320000000001</v>
      </c>
      <c r="BI40" s="201"/>
      <c r="BJ40" s="201"/>
      <c r="BK40" s="201"/>
      <c r="BL40" s="202"/>
      <c r="BM40" s="197"/>
      <c r="BN40" s="198"/>
      <c r="BO40" s="198"/>
      <c r="BP40" s="198"/>
      <c r="BQ40" s="214"/>
      <c r="DQ40" s="169"/>
      <c r="DR40" s="169">
        <v>6</v>
      </c>
      <c r="DS40" s="169">
        <v>5</v>
      </c>
    </row>
    <row r="41" spans="2:123" s="31" customFormat="1" ht="21.95" customHeight="1" thickBot="1">
      <c r="B41" s="178" t="s">
        <v>49</v>
      </c>
      <c r="C41" s="179"/>
      <c r="D41" s="180"/>
      <c r="E41" s="193">
        <f>IF(AY29="x",2,IF(AY30="x",6,"-"))</f>
        <v>6</v>
      </c>
      <c r="F41" s="194"/>
      <c r="G41" s="196"/>
      <c r="H41" s="193" t="str">
        <f>IF(BN29="x",2,IF(BN30="x",6,"-"))</f>
        <v>-</v>
      </c>
      <c r="I41" s="194"/>
      <c r="J41" s="195"/>
      <c r="K41" s="204">
        <v>6830</v>
      </c>
      <c r="L41" s="205"/>
      <c r="M41" s="205"/>
      <c r="N41" s="206"/>
      <c r="O41" s="191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83"/>
      <c r="AC41" s="184"/>
      <c r="AD41" s="185"/>
      <c r="AE41" s="186"/>
      <c r="AF41" s="184"/>
      <c r="AG41" s="184"/>
      <c r="AH41" s="187"/>
      <c r="AI41" s="181">
        <f>AG24+AE25+AE41</f>
        <v>1049.5999999999999</v>
      </c>
      <c r="AJ41" s="181"/>
      <c r="AK41" s="181"/>
      <c r="AL41" s="181"/>
      <c r="AM41" s="182"/>
      <c r="AN41" s="200">
        <f>(K28+W30)*AI41/1000+(AN29*AN30)+IF(AI41&gt;0,1,0)+IF(AY29="x",10.5,0)+IF(BN29="x",7.1,0)+IF(AY30="x",17.1,0)+IF(BN30="x",17.1,0)</f>
        <v>18.937775999999999</v>
      </c>
      <c r="AO41" s="201"/>
      <c r="AP41" s="201"/>
      <c r="AQ41" s="201"/>
      <c r="AR41" s="202"/>
      <c r="AS41" s="197"/>
      <c r="AT41" s="198"/>
      <c r="AU41" s="198"/>
      <c r="AV41" s="198"/>
      <c r="AW41" s="199"/>
      <c r="AX41" s="203">
        <f t="shared" si="0"/>
        <v>18.811823999999998</v>
      </c>
      <c r="AY41" s="201"/>
      <c r="AZ41" s="201"/>
      <c r="BA41" s="201"/>
      <c r="BB41" s="202"/>
      <c r="BC41" s="197"/>
      <c r="BD41" s="198"/>
      <c r="BE41" s="198"/>
      <c r="BF41" s="198"/>
      <c r="BG41" s="199"/>
      <c r="BH41" s="203">
        <f t="shared" si="1"/>
        <v>18.822320000000001</v>
      </c>
      <c r="BI41" s="201"/>
      <c r="BJ41" s="201"/>
      <c r="BK41" s="201"/>
      <c r="BL41" s="202"/>
      <c r="BM41" s="197"/>
      <c r="BN41" s="198"/>
      <c r="BO41" s="198"/>
      <c r="BP41" s="198"/>
      <c r="BQ41" s="214"/>
      <c r="DQ41" s="169"/>
      <c r="DR41" s="169">
        <v>7</v>
      </c>
      <c r="DS41" s="169">
        <v>6</v>
      </c>
    </row>
    <row r="42" spans="2:123" s="31" customFormat="1" ht="21.95" customHeight="1" thickBot="1">
      <c r="B42" s="178" t="s">
        <v>50</v>
      </c>
      <c r="C42" s="179"/>
      <c r="D42" s="180"/>
      <c r="E42" s="193">
        <f>IF(AY29="x",2,IF(AY30="x",7,"-"))</f>
        <v>7</v>
      </c>
      <c r="F42" s="194"/>
      <c r="G42" s="196"/>
      <c r="H42" s="193" t="str">
        <f>IF(BN29="x",3,IF(BN30="x",7,"-"))</f>
        <v>-</v>
      </c>
      <c r="I42" s="194"/>
      <c r="J42" s="195"/>
      <c r="K42" s="204">
        <v>6831</v>
      </c>
      <c r="L42" s="205"/>
      <c r="M42" s="205"/>
      <c r="N42" s="206"/>
      <c r="O42" s="191" t="s">
        <v>166</v>
      </c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83">
        <v>1</v>
      </c>
      <c r="AC42" s="184"/>
      <c r="AD42" s="185"/>
      <c r="AE42" s="186">
        <v>100</v>
      </c>
      <c r="AF42" s="184"/>
      <c r="AG42" s="184"/>
      <c r="AH42" s="187"/>
      <c r="AI42" s="181">
        <f>AG24+AE25+AE42</f>
        <v>1149.5999999999999</v>
      </c>
      <c r="AJ42" s="181"/>
      <c r="AK42" s="181"/>
      <c r="AL42" s="181"/>
      <c r="AM42" s="182"/>
      <c r="AN42" s="200">
        <f>(K28+W30)*AI42/1000+(AN29*AN30)+IF(AI42&gt;0,1,0)+IF(AY29="x",10.5,0)+IF(BN29="x",7.1,0)+IF(AY30="x",17.1,0)+IF(BN30="x",17.1,0)</f>
        <v>18.993776</v>
      </c>
      <c r="AO42" s="201"/>
      <c r="AP42" s="201"/>
      <c r="AQ42" s="201"/>
      <c r="AR42" s="202"/>
      <c r="AS42" s="197">
        <v>16.86</v>
      </c>
      <c r="AT42" s="198"/>
      <c r="AU42" s="198"/>
      <c r="AV42" s="198"/>
      <c r="AW42" s="199"/>
      <c r="AX42" s="203">
        <f t="shared" si="0"/>
        <v>18.855824000000002</v>
      </c>
      <c r="AY42" s="201"/>
      <c r="AZ42" s="201"/>
      <c r="BA42" s="201"/>
      <c r="BB42" s="202"/>
      <c r="BC42" s="197">
        <v>16.57</v>
      </c>
      <c r="BD42" s="198"/>
      <c r="BE42" s="198"/>
      <c r="BF42" s="198"/>
      <c r="BG42" s="199"/>
      <c r="BH42" s="203">
        <f t="shared" si="1"/>
        <v>18.867319999999999</v>
      </c>
      <c r="BI42" s="201"/>
      <c r="BJ42" s="201"/>
      <c r="BK42" s="201"/>
      <c r="BL42" s="202"/>
      <c r="BM42" s="197"/>
      <c r="BN42" s="198"/>
      <c r="BO42" s="198"/>
      <c r="BP42" s="198"/>
      <c r="BQ42" s="214"/>
      <c r="DQ42" s="169"/>
      <c r="DR42" s="169">
        <v>8</v>
      </c>
      <c r="DS42" s="169">
        <v>7</v>
      </c>
    </row>
    <row r="43" spans="2:123" s="31" customFormat="1" ht="21.95" customHeight="1" thickBot="1">
      <c r="B43" s="178" t="s">
        <v>51</v>
      </c>
      <c r="C43" s="179"/>
      <c r="D43" s="180"/>
      <c r="E43" s="193">
        <f>IF(AY29="x",2,IF(AY30="x",8,"-"))</f>
        <v>8</v>
      </c>
      <c r="F43" s="194"/>
      <c r="G43" s="196"/>
      <c r="H43" s="193" t="str">
        <f>IF(BN29="x",4,IF(BN30="x",8,"-"))</f>
        <v>-</v>
      </c>
      <c r="I43" s="194"/>
      <c r="J43" s="195"/>
      <c r="K43" s="204">
        <v>6832</v>
      </c>
      <c r="L43" s="205"/>
      <c r="M43" s="205"/>
      <c r="N43" s="206"/>
      <c r="O43" s="191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83"/>
      <c r="AC43" s="184"/>
      <c r="AD43" s="185"/>
      <c r="AE43" s="186"/>
      <c r="AF43" s="184"/>
      <c r="AG43" s="184"/>
      <c r="AH43" s="187"/>
      <c r="AI43" s="181">
        <f>AG24+AE25+AE43</f>
        <v>1049.5999999999999</v>
      </c>
      <c r="AJ43" s="181"/>
      <c r="AK43" s="181"/>
      <c r="AL43" s="181"/>
      <c r="AM43" s="182"/>
      <c r="AN43" s="200">
        <f>(K28+W30)*AI43/1000+(AN29*AN30)+IF(AI43&gt;0,1,0)+IF(AY29="x",10.5,0)+IF(BN29="x",7.1,0)+IF(AY30="x",17.1,0)+IF(BN30="x",17.1,0)</f>
        <v>18.937775999999999</v>
      </c>
      <c r="AO43" s="201"/>
      <c r="AP43" s="201"/>
      <c r="AQ43" s="201"/>
      <c r="AR43" s="202"/>
      <c r="AS43" s="197"/>
      <c r="AT43" s="198"/>
      <c r="AU43" s="198"/>
      <c r="AV43" s="198"/>
      <c r="AW43" s="199"/>
      <c r="AX43" s="203">
        <f t="shared" si="0"/>
        <v>18.811823999999998</v>
      </c>
      <c r="AY43" s="201"/>
      <c r="AZ43" s="201"/>
      <c r="BA43" s="201"/>
      <c r="BB43" s="202"/>
      <c r="BC43" s="197"/>
      <c r="BD43" s="198"/>
      <c r="BE43" s="198"/>
      <c r="BF43" s="198"/>
      <c r="BG43" s="199"/>
      <c r="BH43" s="203">
        <f t="shared" si="1"/>
        <v>18.822320000000001</v>
      </c>
      <c r="BI43" s="201"/>
      <c r="BJ43" s="201"/>
      <c r="BK43" s="201"/>
      <c r="BL43" s="202"/>
      <c r="BM43" s="197"/>
      <c r="BN43" s="198"/>
      <c r="BO43" s="198"/>
      <c r="BP43" s="198"/>
      <c r="BQ43" s="214"/>
      <c r="DQ43" s="169"/>
      <c r="DR43" s="169">
        <v>11</v>
      </c>
    </row>
    <row r="44" spans="2:123" s="31" customFormat="1" ht="21.95" customHeight="1" thickBot="1">
      <c r="B44" s="178" t="s">
        <v>52</v>
      </c>
      <c r="C44" s="179"/>
      <c r="D44" s="180"/>
      <c r="E44" s="193">
        <f>IF(AY29="x",3,IF(AY30="x",9,"-"))</f>
        <v>9</v>
      </c>
      <c r="F44" s="194"/>
      <c r="G44" s="196"/>
      <c r="H44" s="193" t="str">
        <f>IF(BN29="x",1,IF(BN30="x",9,"-"))</f>
        <v>-</v>
      </c>
      <c r="I44" s="194"/>
      <c r="J44" s="195"/>
      <c r="K44" s="204">
        <v>6833</v>
      </c>
      <c r="L44" s="205"/>
      <c r="M44" s="205"/>
      <c r="N44" s="206"/>
      <c r="O44" s="191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83"/>
      <c r="AC44" s="184"/>
      <c r="AD44" s="185"/>
      <c r="AE44" s="186"/>
      <c r="AF44" s="184"/>
      <c r="AG44" s="184"/>
      <c r="AH44" s="187"/>
      <c r="AI44" s="181">
        <f>AG24+AE25+AE44</f>
        <v>1049.5999999999999</v>
      </c>
      <c r="AJ44" s="181"/>
      <c r="AK44" s="181"/>
      <c r="AL44" s="181"/>
      <c r="AM44" s="182"/>
      <c r="AN44" s="200">
        <f>(K28+W30)*AI44/1000+(AN29*AN30)+IF(AI44&gt;0,1,0)+IF(AY29="x",10.5,0)+IF(BN29="x",7.1,0)+IF(AY30="x",17.1,0)+IF(BN30="x",17.1,0)</f>
        <v>18.937775999999999</v>
      </c>
      <c r="AO44" s="201"/>
      <c r="AP44" s="201"/>
      <c r="AQ44" s="201"/>
      <c r="AR44" s="202"/>
      <c r="AS44" s="197"/>
      <c r="AT44" s="198"/>
      <c r="AU44" s="198"/>
      <c r="AV44" s="198"/>
      <c r="AW44" s="199"/>
      <c r="AX44" s="203">
        <f t="shared" si="0"/>
        <v>18.811823999999998</v>
      </c>
      <c r="AY44" s="201"/>
      <c r="AZ44" s="201"/>
      <c r="BA44" s="201"/>
      <c r="BB44" s="202"/>
      <c r="BC44" s="197"/>
      <c r="BD44" s="198"/>
      <c r="BE44" s="198"/>
      <c r="BF44" s="198"/>
      <c r="BG44" s="199"/>
      <c r="BH44" s="203">
        <f t="shared" si="1"/>
        <v>18.822320000000001</v>
      </c>
      <c r="BI44" s="201"/>
      <c r="BJ44" s="201"/>
      <c r="BK44" s="201"/>
      <c r="BL44" s="202"/>
      <c r="BM44" s="197"/>
      <c r="BN44" s="198"/>
      <c r="BO44" s="198"/>
      <c r="BP44" s="198"/>
      <c r="BQ44" s="214"/>
      <c r="DQ44" s="169"/>
      <c r="DR44" s="169">
        <v>12</v>
      </c>
    </row>
    <row r="45" spans="2:123" s="31" customFormat="1" ht="21.95" customHeight="1" thickBot="1">
      <c r="B45" s="178" t="s">
        <v>53</v>
      </c>
      <c r="C45" s="179"/>
      <c r="D45" s="180"/>
      <c r="E45" s="193">
        <f>IF(AY29="x",3,IF(AY30="x",10,"-"))</f>
        <v>10</v>
      </c>
      <c r="F45" s="194"/>
      <c r="G45" s="196"/>
      <c r="H45" s="193" t="str">
        <f>IF(BN29="x",2,IF(BN30="x",10,"-"))</f>
        <v>-</v>
      </c>
      <c r="I45" s="194"/>
      <c r="J45" s="195"/>
      <c r="K45" s="204">
        <v>6834</v>
      </c>
      <c r="L45" s="205"/>
      <c r="M45" s="205"/>
      <c r="N45" s="206"/>
      <c r="O45" s="191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83"/>
      <c r="AC45" s="184"/>
      <c r="AD45" s="185"/>
      <c r="AE45" s="186"/>
      <c r="AF45" s="184"/>
      <c r="AG45" s="184"/>
      <c r="AH45" s="187"/>
      <c r="AI45" s="181">
        <f>AG24+AE25+AE45</f>
        <v>1049.5999999999999</v>
      </c>
      <c r="AJ45" s="181"/>
      <c r="AK45" s="181"/>
      <c r="AL45" s="181"/>
      <c r="AM45" s="182"/>
      <c r="AN45" s="200">
        <f>(K28+W30)*AI45/1000+(AN29*AN30)+IF(AI45&gt;0,1,0)+IF(AY29="x",10.5,0)+IF(BN29="x",7.1,0)+IF(AY30="x",17.1,0)+IF(BN30="x",17.1,0)</f>
        <v>18.937775999999999</v>
      </c>
      <c r="AO45" s="201"/>
      <c r="AP45" s="201"/>
      <c r="AQ45" s="201"/>
      <c r="AR45" s="202"/>
      <c r="AS45" s="197"/>
      <c r="AT45" s="198"/>
      <c r="AU45" s="198"/>
      <c r="AV45" s="198"/>
      <c r="AW45" s="199"/>
      <c r="AX45" s="203">
        <f t="shared" si="0"/>
        <v>18.811823999999998</v>
      </c>
      <c r="AY45" s="201"/>
      <c r="AZ45" s="201"/>
      <c r="BA45" s="201"/>
      <c r="BB45" s="202"/>
      <c r="BC45" s="197"/>
      <c r="BD45" s="198"/>
      <c r="BE45" s="198"/>
      <c r="BF45" s="198"/>
      <c r="BG45" s="199"/>
      <c r="BH45" s="203">
        <f t="shared" si="1"/>
        <v>18.822320000000001</v>
      </c>
      <c r="BI45" s="201"/>
      <c r="BJ45" s="201"/>
      <c r="BK45" s="201"/>
      <c r="BL45" s="202"/>
      <c r="BM45" s="197"/>
      <c r="BN45" s="198"/>
      <c r="BO45" s="198"/>
      <c r="BP45" s="198"/>
      <c r="BQ45" s="214"/>
      <c r="DQ45" s="169"/>
      <c r="DR45" s="169">
        <v>13</v>
      </c>
    </row>
    <row r="46" spans="2:123" s="31" customFormat="1" ht="21.95" customHeight="1" thickBot="1">
      <c r="B46" s="178" t="s">
        <v>54</v>
      </c>
      <c r="C46" s="179"/>
      <c r="D46" s="180"/>
      <c r="E46" s="193">
        <f>IF(AY29="x",3,IF(AY30="x",11,"-"))</f>
        <v>11</v>
      </c>
      <c r="F46" s="194"/>
      <c r="G46" s="196"/>
      <c r="H46" s="193" t="str">
        <f>IF(BN29="x",3,IF(BN30="x",11,"-"))</f>
        <v>-</v>
      </c>
      <c r="I46" s="194"/>
      <c r="J46" s="195"/>
      <c r="K46" s="204">
        <v>6846</v>
      </c>
      <c r="L46" s="205"/>
      <c r="M46" s="205"/>
      <c r="N46" s="206"/>
      <c r="O46" s="191" t="s">
        <v>167</v>
      </c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83">
        <v>1</v>
      </c>
      <c r="AC46" s="184"/>
      <c r="AD46" s="185"/>
      <c r="AE46" s="186"/>
      <c r="AF46" s="184"/>
      <c r="AG46" s="184"/>
      <c r="AH46" s="187"/>
      <c r="AI46" s="181">
        <f>AG24+AE25+AE46</f>
        <v>1049.5999999999999</v>
      </c>
      <c r="AJ46" s="181"/>
      <c r="AK46" s="181"/>
      <c r="AL46" s="181"/>
      <c r="AM46" s="182"/>
      <c r="AN46" s="200">
        <f>(K28+W30)*AI46/1000+(AN29*AN30)+IF(AI46&gt;0,1,0)+IF(AY29="x",10.5,0)+IF(BN29="x",7.1,0)+IF(AY30="x",17.1,0)+IF(BN30="x",17.1,0)</f>
        <v>18.937775999999999</v>
      </c>
      <c r="AO46" s="201"/>
      <c r="AP46" s="201"/>
      <c r="AQ46" s="201"/>
      <c r="AR46" s="202"/>
      <c r="AS46" s="197"/>
      <c r="AT46" s="198"/>
      <c r="AU46" s="198"/>
      <c r="AV46" s="198"/>
      <c r="AW46" s="199"/>
      <c r="AX46" s="203">
        <f t="shared" si="0"/>
        <v>18.811823999999998</v>
      </c>
      <c r="AY46" s="201"/>
      <c r="AZ46" s="201"/>
      <c r="BA46" s="201"/>
      <c r="BB46" s="202"/>
      <c r="BC46" s="197"/>
      <c r="BD46" s="198"/>
      <c r="BE46" s="198"/>
      <c r="BF46" s="198"/>
      <c r="BG46" s="199"/>
      <c r="BH46" s="203">
        <f t="shared" si="1"/>
        <v>18.822320000000001</v>
      </c>
      <c r="BI46" s="201"/>
      <c r="BJ46" s="201"/>
      <c r="BK46" s="201"/>
      <c r="BL46" s="202"/>
      <c r="BM46" s="197"/>
      <c r="BN46" s="198"/>
      <c r="BO46" s="198"/>
      <c r="BP46" s="198"/>
      <c r="BQ46" s="214"/>
      <c r="DQ46" s="169"/>
      <c r="DR46" s="169">
        <v>14</v>
      </c>
    </row>
    <row r="47" spans="2:123" s="31" customFormat="1" ht="21.95" customHeight="1" thickBot="1">
      <c r="B47" s="178" t="s">
        <v>55</v>
      </c>
      <c r="C47" s="179"/>
      <c r="D47" s="180"/>
      <c r="E47" s="193">
        <f>IF(AY29="x",3,IF(AY30="x",12,"-"))</f>
        <v>12</v>
      </c>
      <c r="F47" s="194"/>
      <c r="G47" s="196"/>
      <c r="H47" s="193" t="str">
        <f>IF(BN29="x",4,IF(BN30="x",12,"-"))</f>
        <v>-</v>
      </c>
      <c r="I47" s="194"/>
      <c r="J47" s="195"/>
      <c r="K47" s="204">
        <v>6847</v>
      </c>
      <c r="L47" s="205"/>
      <c r="M47" s="205"/>
      <c r="N47" s="206"/>
      <c r="O47" s="191" t="s">
        <v>168</v>
      </c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83">
        <v>1</v>
      </c>
      <c r="AC47" s="184"/>
      <c r="AD47" s="185"/>
      <c r="AE47" s="186"/>
      <c r="AF47" s="184"/>
      <c r="AG47" s="184"/>
      <c r="AH47" s="187"/>
      <c r="AI47" s="181">
        <f>AG24+AE25+AE47</f>
        <v>1049.5999999999999</v>
      </c>
      <c r="AJ47" s="181"/>
      <c r="AK47" s="181"/>
      <c r="AL47" s="181"/>
      <c r="AM47" s="182"/>
      <c r="AN47" s="200">
        <f>(K28+W30)*AI47/1000+(AN29*AN30)+IF(AI47&gt;0,1,0)+IF(AY29="x",10.5,0)+IF(BN29="x",7.1,0)+IF(AY30="x",17.1,0)+IF(BN30="x",17.1,0)</f>
        <v>18.937775999999999</v>
      </c>
      <c r="AO47" s="201"/>
      <c r="AP47" s="201"/>
      <c r="AQ47" s="201"/>
      <c r="AR47" s="202"/>
      <c r="AS47" s="197"/>
      <c r="AT47" s="198"/>
      <c r="AU47" s="198"/>
      <c r="AV47" s="198"/>
      <c r="AW47" s="199"/>
      <c r="AX47" s="203">
        <f t="shared" si="0"/>
        <v>18.811823999999998</v>
      </c>
      <c r="AY47" s="201"/>
      <c r="AZ47" s="201"/>
      <c r="BA47" s="201"/>
      <c r="BB47" s="202"/>
      <c r="BC47" s="197"/>
      <c r="BD47" s="198"/>
      <c r="BE47" s="198"/>
      <c r="BF47" s="198"/>
      <c r="BG47" s="199"/>
      <c r="BH47" s="203">
        <f t="shared" si="1"/>
        <v>18.822320000000001</v>
      </c>
      <c r="BI47" s="201"/>
      <c r="BJ47" s="201"/>
      <c r="BK47" s="201"/>
      <c r="BL47" s="202"/>
      <c r="BM47" s="197"/>
      <c r="BN47" s="198"/>
      <c r="BO47" s="198"/>
      <c r="BP47" s="198"/>
      <c r="BQ47" s="214"/>
      <c r="DQ47" s="169"/>
      <c r="DR47" s="169">
        <v>15</v>
      </c>
    </row>
    <row r="48" spans="2:123" s="31" customFormat="1" ht="21.95" customHeight="1" thickBot="1">
      <c r="B48" s="178" t="s">
        <v>56</v>
      </c>
      <c r="C48" s="179"/>
      <c r="D48" s="180"/>
      <c r="E48" s="193">
        <f>IF(AY29="x",4,IF(AY30="x",13,"-"))</f>
        <v>13</v>
      </c>
      <c r="F48" s="194"/>
      <c r="G48" s="196"/>
      <c r="H48" s="193" t="str">
        <f>IF(BN29="x",1,IF(BN30="x",13,"-"))</f>
        <v>-</v>
      </c>
      <c r="I48" s="194"/>
      <c r="J48" s="195"/>
      <c r="K48" s="204">
        <v>6847</v>
      </c>
      <c r="L48" s="205"/>
      <c r="M48" s="205"/>
      <c r="N48" s="206"/>
      <c r="O48" s="191" t="s">
        <v>168</v>
      </c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83">
        <v>2</v>
      </c>
      <c r="AC48" s="184"/>
      <c r="AD48" s="185"/>
      <c r="AE48" s="186"/>
      <c r="AF48" s="184"/>
      <c r="AG48" s="184"/>
      <c r="AH48" s="187"/>
      <c r="AI48" s="181">
        <f>AG24+AE25+AE48</f>
        <v>1049.5999999999999</v>
      </c>
      <c r="AJ48" s="181"/>
      <c r="AK48" s="181"/>
      <c r="AL48" s="181"/>
      <c r="AM48" s="182"/>
      <c r="AN48" s="200">
        <f>(K28+W30)*AI48/1000+(AN29*AN30)+IF(AI48&gt;0,1,0)+IF(AY29="x",10.5,0)+IF(BN29="x",7.1,0)+IF(AY30="x",17.1,0)+IF(BN30="x",17.1,0)</f>
        <v>18.937775999999999</v>
      </c>
      <c r="AO48" s="201"/>
      <c r="AP48" s="201"/>
      <c r="AQ48" s="201"/>
      <c r="AR48" s="202"/>
      <c r="AS48" s="197"/>
      <c r="AT48" s="198"/>
      <c r="AU48" s="198"/>
      <c r="AV48" s="198"/>
      <c r="AW48" s="199"/>
      <c r="AX48" s="203">
        <f t="shared" si="0"/>
        <v>18.811823999999998</v>
      </c>
      <c r="AY48" s="201"/>
      <c r="AZ48" s="201"/>
      <c r="BA48" s="201"/>
      <c r="BB48" s="202"/>
      <c r="BC48" s="197"/>
      <c r="BD48" s="198"/>
      <c r="BE48" s="198"/>
      <c r="BF48" s="198"/>
      <c r="BG48" s="199"/>
      <c r="BH48" s="203">
        <f t="shared" si="1"/>
        <v>18.822320000000001</v>
      </c>
      <c r="BI48" s="201"/>
      <c r="BJ48" s="201"/>
      <c r="BK48" s="201"/>
      <c r="BL48" s="202"/>
      <c r="BM48" s="197"/>
      <c r="BN48" s="198"/>
      <c r="BO48" s="198"/>
      <c r="BP48" s="198"/>
      <c r="BQ48" s="214"/>
      <c r="DQ48" s="169"/>
      <c r="DR48" s="169">
        <v>16</v>
      </c>
    </row>
    <row r="49" spans="2:122" s="31" customFormat="1" ht="21.95" customHeight="1" thickBot="1">
      <c r="B49" s="178" t="s">
        <v>57</v>
      </c>
      <c r="C49" s="179"/>
      <c r="D49" s="180"/>
      <c r="E49" s="193">
        <f>IF(AY29="x",4,IF(AY30="x",14,"-"))</f>
        <v>14</v>
      </c>
      <c r="F49" s="194"/>
      <c r="G49" s="196"/>
      <c r="H49" s="193" t="str">
        <f>IF(BN29="x",2,IF(BN30="x",14,"-"))</f>
        <v>-</v>
      </c>
      <c r="I49" s="194"/>
      <c r="J49" s="195"/>
      <c r="K49" s="204">
        <v>6848</v>
      </c>
      <c r="L49" s="205"/>
      <c r="M49" s="205"/>
      <c r="N49" s="206"/>
      <c r="O49" s="191" t="s">
        <v>169</v>
      </c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83">
        <v>1</v>
      </c>
      <c r="AC49" s="184"/>
      <c r="AD49" s="185"/>
      <c r="AE49" s="186"/>
      <c r="AF49" s="184"/>
      <c r="AG49" s="184"/>
      <c r="AH49" s="187"/>
      <c r="AI49" s="181">
        <f>AG24+AE25+AE49</f>
        <v>1049.5999999999999</v>
      </c>
      <c r="AJ49" s="181"/>
      <c r="AK49" s="181"/>
      <c r="AL49" s="181"/>
      <c r="AM49" s="182"/>
      <c r="AN49" s="200">
        <f>(K28+W30)*AI49/1000+(AN29*AN30)+IF(AI49&gt;0,1,0)+IF(AY29="x",10.5,0)+IF(BN29="x",7.1,0)+IF(AY30="x",17.1,0)+IF(BN30="x",17.1,0)</f>
        <v>18.937775999999999</v>
      </c>
      <c r="AO49" s="201"/>
      <c r="AP49" s="201"/>
      <c r="AQ49" s="201"/>
      <c r="AR49" s="202"/>
      <c r="AS49" s="197">
        <v>16.78</v>
      </c>
      <c r="AT49" s="198"/>
      <c r="AU49" s="198"/>
      <c r="AV49" s="198"/>
      <c r="AW49" s="199"/>
      <c r="AX49" s="203">
        <f t="shared" si="0"/>
        <v>18.811823999999998</v>
      </c>
      <c r="AY49" s="201"/>
      <c r="AZ49" s="201"/>
      <c r="BA49" s="201"/>
      <c r="BB49" s="202"/>
      <c r="BC49" s="197">
        <v>16.559999999999999</v>
      </c>
      <c r="BD49" s="198"/>
      <c r="BE49" s="198"/>
      <c r="BF49" s="198"/>
      <c r="BG49" s="199"/>
      <c r="BH49" s="203">
        <f t="shared" si="1"/>
        <v>18.822320000000001</v>
      </c>
      <c r="BI49" s="201"/>
      <c r="BJ49" s="201"/>
      <c r="BK49" s="201"/>
      <c r="BL49" s="202"/>
      <c r="BM49" s="197"/>
      <c r="BN49" s="198"/>
      <c r="BO49" s="198"/>
      <c r="BP49" s="198"/>
      <c r="BQ49" s="214"/>
      <c r="DQ49" s="169"/>
      <c r="DR49" s="169">
        <v>17</v>
      </c>
    </row>
    <row r="50" spans="2:122" s="31" customFormat="1" ht="21.95" customHeight="1" thickBot="1">
      <c r="B50" s="178" t="s">
        <v>58</v>
      </c>
      <c r="C50" s="179"/>
      <c r="D50" s="180"/>
      <c r="E50" s="193">
        <f>IF(AY29="x",4,IF(AY30="x",15,"-"))</f>
        <v>15</v>
      </c>
      <c r="F50" s="194"/>
      <c r="G50" s="196"/>
      <c r="H50" s="193" t="str">
        <f>IF(BN29="x",3,IF(BN30="x",15,"-"))</f>
        <v>-</v>
      </c>
      <c r="I50" s="194"/>
      <c r="J50" s="195"/>
      <c r="K50" s="204">
        <v>6849</v>
      </c>
      <c r="L50" s="205"/>
      <c r="M50" s="205"/>
      <c r="N50" s="206"/>
      <c r="O50" s="191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83"/>
      <c r="AC50" s="184"/>
      <c r="AD50" s="185"/>
      <c r="AE50" s="186"/>
      <c r="AF50" s="184"/>
      <c r="AG50" s="184"/>
      <c r="AH50" s="187"/>
      <c r="AI50" s="181">
        <f>AG24+AE25+AE50</f>
        <v>1049.5999999999999</v>
      </c>
      <c r="AJ50" s="181"/>
      <c r="AK50" s="181"/>
      <c r="AL50" s="181"/>
      <c r="AM50" s="182"/>
      <c r="AN50" s="200">
        <f>(K28+W30)*AI50/1000+(AN29*AN30)+IF(AI50&gt;0,1,0)+IF(AY29="x",10.5,0)+IF(BN29="x",7.1,0)+IF(AY30="x",17.1,0)+IF(BN30="x",17.1,0)</f>
        <v>18.937775999999999</v>
      </c>
      <c r="AO50" s="201"/>
      <c r="AP50" s="201"/>
      <c r="AQ50" s="201"/>
      <c r="AR50" s="202"/>
      <c r="AS50" s="197"/>
      <c r="AT50" s="198"/>
      <c r="AU50" s="198"/>
      <c r="AV50" s="198"/>
      <c r="AW50" s="199"/>
      <c r="AX50" s="203">
        <f t="shared" si="0"/>
        <v>18.811823999999998</v>
      </c>
      <c r="AY50" s="201"/>
      <c r="AZ50" s="201"/>
      <c r="BA50" s="201"/>
      <c r="BB50" s="202"/>
      <c r="BC50" s="197"/>
      <c r="BD50" s="198"/>
      <c r="BE50" s="198"/>
      <c r="BF50" s="198"/>
      <c r="BG50" s="199"/>
      <c r="BH50" s="203">
        <f t="shared" si="1"/>
        <v>18.822320000000001</v>
      </c>
      <c r="BI50" s="201"/>
      <c r="BJ50" s="201"/>
      <c r="BK50" s="201"/>
      <c r="BL50" s="202"/>
      <c r="BM50" s="197"/>
      <c r="BN50" s="198"/>
      <c r="BO50" s="198"/>
      <c r="BP50" s="198"/>
      <c r="BQ50" s="214"/>
      <c r="DQ50" s="168"/>
      <c r="DR50" s="169">
        <v>18</v>
      </c>
    </row>
    <row r="51" spans="2:122" s="31" customFormat="1" ht="21.95" customHeight="1" thickBot="1">
      <c r="B51" s="238" t="s">
        <v>59</v>
      </c>
      <c r="C51" s="239"/>
      <c r="D51" s="240"/>
      <c r="E51" s="314">
        <f>IF(AY29="x",4,IF(AY30="x",16,"-"))</f>
        <v>16</v>
      </c>
      <c r="F51" s="315"/>
      <c r="G51" s="316"/>
      <c r="H51" s="314" t="str">
        <f>IF(BN29="x",4,IF(BN30="x",16,"-"))</f>
        <v>-</v>
      </c>
      <c r="I51" s="315"/>
      <c r="J51" s="317"/>
      <c r="K51" s="204">
        <v>6850</v>
      </c>
      <c r="L51" s="205"/>
      <c r="M51" s="205"/>
      <c r="N51" s="206"/>
      <c r="O51" s="248"/>
      <c r="P51" s="249"/>
      <c r="Q51" s="249"/>
      <c r="R51" s="249"/>
      <c r="S51" s="249"/>
      <c r="T51" s="249"/>
      <c r="U51" s="249"/>
      <c r="V51" s="249"/>
      <c r="W51" s="249"/>
      <c r="X51" s="249"/>
      <c r="Y51" s="249"/>
      <c r="Z51" s="249"/>
      <c r="AA51" s="249"/>
      <c r="AB51" s="243"/>
      <c r="AC51" s="244"/>
      <c r="AD51" s="245"/>
      <c r="AE51" s="246"/>
      <c r="AF51" s="244"/>
      <c r="AG51" s="244"/>
      <c r="AH51" s="247"/>
      <c r="AI51" s="241">
        <f>AG24+AE25+AE51</f>
        <v>1049.5999999999999</v>
      </c>
      <c r="AJ51" s="241"/>
      <c r="AK51" s="241"/>
      <c r="AL51" s="241"/>
      <c r="AM51" s="242"/>
      <c r="AN51" s="237">
        <f>(K28+W30)*AI51/1000+(AN29*AN30)+IF(AI51&gt;0,1,0)+IF(AY29="x",10.5,0)+IF(BN29="x",7.1,0)+IF(AY30="x",17.1,0)+IF(BN30="x",17.1,0)</f>
        <v>18.937775999999999</v>
      </c>
      <c r="AO51" s="212"/>
      <c r="AP51" s="212"/>
      <c r="AQ51" s="212"/>
      <c r="AR51" s="213"/>
      <c r="AS51" s="207"/>
      <c r="AT51" s="208"/>
      <c r="AU51" s="208"/>
      <c r="AV51" s="208"/>
      <c r="AW51" s="210"/>
      <c r="AX51" s="211">
        <f t="shared" si="0"/>
        <v>18.811823999999998</v>
      </c>
      <c r="AY51" s="212"/>
      <c r="AZ51" s="212"/>
      <c r="BA51" s="212"/>
      <c r="BB51" s="213"/>
      <c r="BC51" s="207"/>
      <c r="BD51" s="208"/>
      <c r="BE51" s="208"/>
      <c r="BF51" s="208"/>
      <c r="BG51" s="210"/>
      <c r="BH51" s="211">
        <f t="shared" si="1"/>
        <v>18.822320000000001</v>
      </c>
      <c r="BI51" s="212"/>
      <c r="BJ51" s="212"/>
      <c r="BK51" s="212"/>
      <c r="BL51" s="213"/>
      <c r="BM51" s="207"/>
      <c r="BN51" s="208"/>
      <c r="BO51" s="208"/>
      <c r="BP51" s="208"/>
      <c r="BQ51" s="209"/>
      <c r="DQ51" s="168"/>
    </row>
    <row r="52" spans="2:122" s="31" customFormat="1" ht="4.5" customHeight="1" thickBot="1"/>
    <row r="53" spans="2:122" s="31" customFormat="1" ht="4.5" customHeight="1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8"/>
    </row>
    <row r="54" spans="2:122" s="31" customFormat="1" ht="17.100000000000001" customHeight="1">
      <c r="B54" s="26"/>
      <c r="C54" s="171"/>
      <c r="D54" s="172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2"/>
      <c r="P54" s="172"/>
      <c r="Q54" s="173"/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4"/>
      <c r="AG54" s="174"/>
      <c r="AH54" s="174"/>
      <c r="AI54" s="174"/>
      <c r="AJ54" s="174"/>
      <c r="AK54" s="172"/>
      <c r="AL54" s="172"/>
      <c r="AM54" s="173"/>
      <c r="AN54" s="172"/>
      <c r="AO54" s="172"/>
      <c r="AP54" s="172"/>
      <c r="AQ54" s="172"/>
      <c r="AR54" s="172"/>
      <c r="AS54" s="174"/>
      <c r="AT54" s="174"/>
      <c r="AU54" s="174"/>
      <c r="AV54" s="174"/>
      <c r="AW54" s="174"/>
      <c r="AX54" s="174"/>
      <c r="AY54" s="172"/>
      <c r="AZ54" s="172"/>
      <c r="BA54" s="172"/>
      <c r="BB54" s="172"/>
      <c r="BC54" s="172"/>
      <c r="BD54" s="172"/>
      <c r="BE54" s="172"/>
      <c r="BF54" s="172"/>
      <c r="BG54" s="172"/>
      <c r="BH54" s="174"/>
      <c r="BI54" s="174"/>
      <c r="BJ54" s="174"/>
      <c r="BK54" s="174"/>
      <c r="BL54" s="174"/>
      <c r="BM54" s="172"/>
      <c r="BN54" s="172"/>
      <c r="BO54" s="175"/>
      <c r="BP54" s="172"/>
      <c r="BQ54" s="48"/>
    </row>
    <row r="55" spans="2:122" s="31" customFormat="1" ht="4.5" customHeight="1" thickBot="1"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4"/>
    </row>
    <row r="56" spans="2:122" s="31" customFormat="1" ht="4.5" customHeight="1" thickBot="1"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2:122" s="35" customFormat="1" ht="20.100000000000001" customHeight="1">
      <c r="B57" s="228" t="s">
        <v>38</v>
      </c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  <c r="AJ57" s="229"/>
      <c r="AK57" s="229"/>
      <c r="AL57" s="229"/>
      <c r="AM57" s="229"/>
      <c r="AN57" s="229"/>
      <c r="AO57" s="229"/>
      <c r="AP57" s="229"/>
      <c r="AQ57" s="229"/>
      <c r="AR57" s="229"/>
      <c r="AS57" s="229"/>
      <c r="AT57" s="229"/>
      <c r="AU57" s="229"/>
      <c r="AV57" s="229"/>
      <c r="AW57" s="229"/>
      <c r="AX57" s="229"/>
      <c r="AY57" s="229"/>
      <c r="AZ57" s="229"/>
      <c r="BA57" s="229"/>
      <c r="BB57" s="229"/>
      <c r="BC57" s="229"/>
      <c r="BD57" s="229"/>
      <c r="BE57" s="229"/>
      <c r="BF57" s="229"/>
      <c r="BG57" s="229"/>
      <c r="BH57" s="229"/>
      <c r="BI57" s="229"/>
      <c r="BJ57" s="229"/>
      <c r="BK57" s="229"/>
      <c r="BL57" s="229"/>
      <c r="BM57" s="229"/>
      <c r="BN57" s="229"/>
      <c r="BO57" s="229"/>
      <c r="BP57" s="229"/>
      <c r="BQ57" s="230"/>
    </row>
    <row r="58" spans="2:122" s="35" customFormat="1" ht="20.100000000000001" customHeight="1">
      <c r="B58" s="9" t="s">
        <v>4</v>
      </c>
      <c r="C58" s="8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3"/>
      <c r="U58" s="44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3"/>
      <c r="AK58" s="44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5"/>
    </row>
    <row r="59" spans="2:122" s="35" customFormat="1" ht="17.100000000000001" customHeight="1">
      <c r="B59" s="231" t="s">
        <v>39</v>
      </c>
      <c r="C59" s="232"/>
      <c r="D59" s="232"/>
      <c r="E59" s="232"/>
      <c r="F59" s="232"/>
      <c r="G59" s="28"/>
      <c r="H59" s="233" t="s">
        <v>161</v>
      </c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4"/>
      <c r="U59" s="235" t="s">
        <v>40</v>
      </c>
      <c r="V59" s="232"/>
      <c r="W59" s="232"/>
      <c r="X59" s="232"/>
      <c r="Y59" s="29"/>
      <c r="Z59" s="236"/>
      <c r="AA59" s="233"/>
      <c r="AB59" s="233"/>
      <c r="AC59" s="233"/>
      <c r="AD59" s="233"/>
      <c r="AE59" s="233"/>
      <c r="AF59" s="233"/>
      <c r="AG59" s="233"/>
      <c r="AH59" s="233"/>
      <c r="AI59" s="233"/>
      <c r="AJ59" s="234"/>
      <c r="AK59" s="235" t="s">
        <v>41</v>
      </c>
      <c r="AL59" s="232"/>
      <c r="AM59" s="232"/>
      <c r="AN59" s="232"/>
      <c r="AO59" s="232"/>
      <c r="AP59" s="232"/>
      <c r="AQ59" s="232"/>
      <c r="AR59" s="27"/>
      <c r="AS59" s="27"/>
      <c r="AT59" s="27"/>
      <c r="AU59" s="27"/>
      <c r="AV59" s="27"/>
      <c r="AW59" s="27"/>
      <c r="AX59" s="27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46"/>
    </row>
    <row r="60" spans="2:122" s="35" customFormat="1" ht="17.100000000000001" customHeight="1">
      <c r="B60" s="231"/>
      <c r="C60" s="232"/>
      <c r="D60" s="232"/>
      <c r="E60" s="232"/>
      <c r="F60" s="232"/>
      <c r="G60" s="28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4"/>
      <c r="U60" s="235"/>
      <c r="V60" s="232"/>
      <c r="W60" s="232"/>
      <c r="X60" s="232"/>
      <c r="Y60" s="29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4"/>
      <c r="AK60" s="235"/>
      <c r="AL60" s="232"/>
      <c r="AM60" s="232"/>
      <c r="AN60" s="232"/>
      <c r="AO60" s="232"/>
      <c r="AP60" s="232"/>
      <c r="AQ60" s="232"/>
      <c r="AR60" s="27"/>
      <c r="AS60" s="27"/>
      <c r="AT60" s="27"/>
      <c r="AU60" s="27"/>
      <c r="AV60" s="27"/>
      <c r="AW60" s="27"/>
      <c r="AX60" s="27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46"/>
    </row>
    <row r="61" spans="2:122" s="35" customFormat="1" ht="4.5" customHeight="1" thickBot="1">
      <c r="B61" s="52"/>
      <c r="C61" s="53"/>
      <c r="D61" s="53"/>
      <c r="E61" s="53"/>
      <c r="F61" s="53"/>
      <c r="G61" s="47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53"/>
      <c r="V61" s="53"/>
      <c r="W61" s="53"/>
      <c r="X61" s="53"/>
      <c r="Y61" s="47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53"/>
      <c r="AL61" s="53"/>
      <c r="AM61" s="53"/>
      <c r="AN61" s="53"/>
      <c r="AO61" s="53"/>
      <c r="AP61" s="53"/>
      <c r="AQ61" s="53"/>
      <c r="AR61" s="54"/>
      <c r="AS61" s="54"/>
      <c r="AT61" s="54"/>
      <c r="AU61" s="54"/>
      <c r="AV61" s="54"/>
      <c r="AW61" s="54"/>
      <c r="AX61" s="54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55"/>
    </row>
    <row r="62" spans="2:122" s="35" customFormat="1" ht="20.100000000000001" customHeight="1" thickBot="1">
      <c r="B62" s="215" t="s">
        <v>131</v>
      </c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7"/>
    </row>
    <row r="101" spans="7:11">
      <c r="G101" s="166"/>
      <c r="K101" s="167"/>
    </row>
    <row r="102" spans="7:11">
      <c r="G102" s="166"/>
      <c r="K102" s="167"/>
    </row>
    <row r="103" spans="7:11">
      <c r="G103" s="166"/>
      <c r="K103" s="167"/>
    </row>
    <row r="104" spans="7:11">
      <c r="G104" s="166"/>
      <c r="K104" s="167"/>
    </row>
    <row r="105" spans="7:11">
      <c r="G105" s="166"/>
      <c r="K105" s="167"/>
    </row>
    <row r="106" spans="7:11">
      <c r="G106" s="166"/>
      <c r="K106" s="167"/>
    </row>
    <row r="107" spans="7:11">
      <c r="G107" s="166"/>
      <c r="K107" s="167"/>
    </row>
    <row r="108" spans="7:11">
      <c r="G108" s="166"/>
      <c r="K108" s="167"/>
    </row>
    <row r="109" spans="7:11">
      <c r="G109" s="166"/>
    </row>
    <row r="110" spans="7:11">
      <c r="G110" s="166"/>
    </row>
    <row r="111" spans="7:11">
      <c r="G111" s="166"/>
    </row>
    <row r="112" spans="7:11">
      <c r="G112" s="166"/>
    </row>
    <row r="113" spans="7:7">
      <c r="G113" s="166"/>
    </row>
    <row r="114" spans="7:7">
      <c r="G114" s="166"/>
    </row>
    <row r="115" spans="7:7">
      <c r="G115" s="166"/>
    </row>
  </sheetData>
  <sheetProtection algorithmName="SHA-512" hashValue="ZVY0Cq+BgEntowuPubJKHHhthGc+A6gZwzrdwAHQ+2EOXhEZpVu/pzd7kHT8dQGsFusM7CNEd9/APAbAatvwQg==" saltValue="tLZXBW1kO5vXtfguPJLNTA==" spinCount="100000" sheet="1" selectLockedCells="1"/>
  <mergeCells count="305">
    <mergeCell ref="B33:D35"/>
    <mergeCell ref="E33:G35"/>
    <mergeCell ref="H33:J35"/>
    <mergeCell ref="K33:N35"/>
    <mergeCell ref="E39:G39"/>
    <mergeCell ref="H39:J39"/>
    <mergeCell ref="T13:W13"/>
    <mergeCell ref="T11:W11"/>
    <mergeCell ref="AN11:AQ11"/>
    <mergeCell ref="O38:AA38"/>
    <mergeCell ref="O39:AA39"/>
    <mergeCell ref="AE39:AH39"/>
    <mergeCell ref="AG24:AI24"/>
    <mergeCell ref="AJ24:AK24"/>
    <mergeCell ref="AJ25:AK25"/>
    <mergeCell ref="AE25:AI25"/>
    <mergeCell ref="O37:AA37"/>
    <mergeCell ref="X11:AB11"/>
    <mergeCell ref="AN33:BQ33"/>
    <mergeCell ref="AN34:AW34"/>
    <mergeCell ref="AX35:BB35"/>
    <mergeCell ref="AB33:AH33"/>
    <mergeCell ref="AC11:AD11"/>
    <mergeCell ref="X13:AB13"/>
    <mergeCell ref="E36:G36"/>
    <mergeCell ref="H36:J36"/>
    <mergeCell ref="E38:G38"/>
    <mergeCell ref="E44:G44"/>
    <mergeCell ref="H44:J44"/>
    <mergeCell ref="K42:N42"/>
    <mergeCell ref="K43:N43"/>
    <mergeCell ref="K44:N44"/>
    <mergeCell ref="E43:G43"/>
    <mergeCell ref="H43:J43"/>
    <mergeCell ref="E42:G42"/>
    <mergeCell ref="H42:J42"/>
    <mergeCell ref="K39:N39"/>
    <mergeCell ref="K40:N40"/>
    <mergeCell ref="K41:N41"/>
    <mergeCell ref="H38:J38"/>
    <mergeCell ref="K36:N36"/>
    <mergeCell ref="E37:G37"/>
    <mergeCell ref="H37:J37"/>
    <mergeCell ref="H45:J45"/>
    <mergeCell ref="E46:G46"/>
    <mergeCell ref="H46:J46"/>
    <mergeCell ref="E47:G47"/>
    <mergeCell ref="H47:J47"/>
    <mergeCell ref="E48:G48"/>
    <mergeCell ref="E51:G51"/>
    <mergeCell ref="H51:J51"/>
    <mergeCell ref="E50:G50"/>
    <mergeCell ref="H50:J50"/>
    <mergeCell ref="E49:G49"/>
    <mergeCell ref="H49:J49"/>
    <mergeCell ref="K28:M28"/>
    <mergeCell ref="K29:M29"/>
    <mergeCell ref="K30:M30"/>
    <mergeCell ref="BC11:BF11"/>
    <mergeCell ref="AR7:BF7"/>
    <mergeCell ref="BC13:BF13"/>
    <mergeCell ref="K45:N45"/>
    <mergeCell ref="K46:N46"/>
    <mergeCell ref="K47:N47"/>
    <mergeCell ref="O42:AA42"/>
    <mergeCell ref="O43:AA43"/>
    <mergeCell ref="O36:AA36"/>
    <mergeCell ref="AB36:AD36"/>
    <mergeCell ref="K38:N38"/>
    <mergeCell ref="AB43:AD43"/>
    <mergeCell ref="AE42:AH42"/>
    <mergeCell ref="AE43:AH43"/>
    <mergeCell ref="O40:AA40"/>
    <mergeCell ref="O41:AA41"/>
    <mergeCell ref="AB42:AD42"/>
    <mergeCell ref="O33:AA33"/>
    <mergeCell ref="O34:AA34"/>
    <mergeCell ref="O35:AA35"/>
    <mergeCell ref="AB34:AD35"/>
    <mergeCell ref="B2:BG2"/>
    <mergeCell ref="BH2:BQ3"/>
    <mergeCell ref="B3:BG3"/>
    <mergeCell ref="D7:AL7"/>
    <mergeCell ref="BK7:BM7"/>
    <mergeCell ref="BN7:BO7"/>
    <mergeCell ref="BI7:BJ7"/>
    <mergeCell ref="S18:AB18"/>
    <mergeCell ref="S20:AB20"/>
    <mergeCell ref="AR11:AT11"/>
    <mergeCell ref="AI13:AK13"/>
    <mergeCell ref="AN13:AP13"/>
    <mergeCell ref="AR13:AT13"/>
    <mergeCell ref="AI11:AK11"/>
    <mergeCell ref="AE11:AH11"/>
    <mergeCell ref="AE13:AH13"/>
    <mergeCell ref="BM35:BQ35"/>
    <mergeCell ref="BC18:BM18"/>
    <mergeCell ref="BC20:BM20"/>
    <mergeCell ref="BA25:BH25"/>
    <mergeCell ref="BN29:BO29"/>
    <mergeCell ref="AN30:AP30"/>
    <mergeCell ref="BC35:BG35"/>
    <mergeCell ref="BH35:BL35"/>
    <mergeCell ref="AX34:BG34"/>
    <mergeCell ref="BH34:BQ34"/>
    <mergeCell ref="AK18:AS18"/>
    <mergeCell ref="AK20:AS20"/>
    <mergeCell ref="AN35:AR35"/>
    <mergeCell ref="AS35:AW35"/>
    <mergeCell ref="AY29:AZ29"/>
    <mergeCell ref="BI29:BK29"/>
    <mergeCell ref="AY30:AZ30"/>
    <mergeCell ref="BI30:BK30"/>
    <mergeCell ref="BI25:BP25"/>
    <mergeCell ref="BN30:BO30"/>
    <mergeCell ref="AL25:AR25"/>
    <mergeCell ref="AL24:AR24"/>
    <mergeCell ref="AE34:AH35"/>
    <mergeCell ref="AI33:AM35"/>
    <mergeCell ref="AN29:AP29"/>
    <mergeCell ref="AS24:BB24"/>
    <mergeCell ref="AS25:AZ25"/>
    <mergeCell ref="AX13:BB13"/>
    <mergeCell ref="AX11:BB11"/>
    <mergeCell ref="W30:Y30"/>
    <mergeCell ref="B44:D44"/>
    <mergeCell ref="B43:D43"/>
    <mergeCell ref="B41:D41"/>
    <mergeCell ref="E41:G41"/>
    <mergeCell ref="H41:J41"/>
    <mergeCell ref="B37:D37"/>
    <mergeCell ref="K37:N37"/>
    <mergeCell ref="B39:D39"/>
    <mergeCell ref="AX42:BB42"/>
    <mergeCell ref="AB39:AD39"/>
    <mergeCell ref="AB37:AD37"/>
    <mergeCell ref="AE37:AH37"/>
    <mergeCell ref="AS37:AW37"/>
    <mergeCell ref="AN41:AR41"/>
    <mergeCell ref="AS41:AW41"/>
    <mergeCell ref="AN40:AR40"/>
    <mergeCell ref="BC46:BG46"/>
    <mergeCell ref="AX48:BB48"/>
    <mergeCell ref="AS45:AW45"/>
    <mergeCell ref="AX45:BB45"/>
    <mergeCell ref="AB46:AD46"/>
    <mergeCell ref="AN44:AR44"/>
    <mergeCell ref="AX44:BB44"/>
    <mergeCell ref="AB45:AD45"/>
    <mergeCell ref="AE45:AH45"/>
    <mergeCell ref="AE46:AH46"/>
    <mergeCell ref="AE44:AH44"/>
    <mergeCell ref="B59:F60"/>
    <mergeCell ref="H59:T60"/>
    <mergeCell ref="U59:X60"/>
    <mergeCell ref="Z59:AJ60"/>
    <mergeCell ref="AN51:AR51"/>
    <mergeCell ref="AS49:AW49"/>
    <mergeCell ref="B51:D51"/>
    <mergeCell ref="B50:D50"/>
    <mergeCell ref="AI50:AM50"/>
    <mergeCell ref="AI51:AM51"/>
    <mergeCell ref="AB50:AD50"/>
    <mergeCell ref="AE50:AH50"/>
    <mergeCell ref="AB51:AD51"/>
    <mergeCell ref="AE51:AH51"/>
    <mergeCell ref="AK59:AQ60"/>
    <mergeCell ref="AN50:AR50"/>
    <mergeCell ref="O49:AA49"/>
    <mergeCell ref="AI49:AM49"/>
    <mergeCell ref="K49:N49"/>
    <mergeCell ref="K50:N50"/>
    <mergeCell ref="K51:N51"/>
    <mergeCell ref="O50:AA50"/>
    <mergeCell ref="O51:AA51"/>
    <mergeCell ref="BC42:BG42"/>
    <mergeCell ref="AX41:BB41"/>
    <mergeCell ref="BC41:BG41"/>
    <mergeCell ref="B57:BQ57"/>
    <mergeCell ref="AX37:BB37"/>
    <mergeCell ref="BM38:BQ38"/>
    <mergeCell ref="BH37:BL37"/>
    <mergeCell ref="BM37:BQ37"/>
    <mergeCell ref="AB44:AD44"/>
    <mergeCell ref="AS44:AW44"/>
    <mergeCell ref="BM39:BQ39"/>
    <mergeCell ref="AX40:BB40"/>
    <mergeCell ref="BC40:BG40"/>
    <mergeCell ref="BH40:BL40"/>
    <mergeCell ref="BM40:BQ40"/>
    <mergeCell ref="BM41:BQ41"/>
    <mergeCell ref="BM44:BQ44"/>
    <mergeCell ref="BH42:BL42"/>
    <mergeCell ref="BM42:BQ42"/>
    <mergeCell ref="BH43:BL43"/>
    <mergeCell ref="BH41:BL41"/>
    <mergeCell ref="BH45:BL45"/>
    <mergeCell ref="BM45:BQ45"/>
    <mergeCell ref="AN45:AR45"/>
    <mergeCell ref="B62:BQ62"/>
    <mergeCell ref="AN36:AR36"/>
    <mergeCell ref="AS36:AW36"/>
    <mergeCell ref="AX36:BB36"/>
    <mergeCell ref="BC36:BG36"/>
    <mergeCell ref="BH36:BL36"/>
    <mergeCell ref="BM36:BQ36"/>
    <mergeCell ref="AN37:AR37"/>
    <mergeCell ref="BC37:BG37"/>
    <mergeCell ref="AB41:AD41"/>
    <mergeCell ref="BH38:BL38"/>
    <mergeCell ref="AN39:AR39"/>
    <mergeCell ref="AS39:AW39"/>
    <mergeCell ref="AX39:BB39"/>
    <mergeCell ref="BC39:BG39"/>
    <mergeCell ref="BC38:BG38"/>
    <mergeCell ref="BH39:BL39"/>
    <mergeCell ref="AN38:AR38"/>
    <mergeCell ref="AS38:AW38"/>
    <mergeCell ref="AX38:BB38"/>
    <mergeCell ref="BC43:BG43"/>
    <mergeCell ref="AI36:AM36"/>
    <mergeCell ref="AI37:AM37"/>
    <mergeCell ref="AI39:AM39"/>
    <mergeCell ref="BH49:BL49"/>
    <mergeCell ref="BC48:BG48"/>
    <mergeCell ref="AS48:AW48"/>
    <mergeCell ref="BM49:BQ49"/>
    <mergeCell ref="AN49:AR49"/>
    <mergeCell ref="AX49:BB49"/>
    <mergeCell ref="BC49:BG49"/>
    <mergeCell ref="BM43:BQ43"/>
    <mergeCell ref="BH44:BL44"/>
    <mergeCell ref="BH46:BL46"/>
    <mergeCell ref="BM46:BQ46"/>
    <mergeCell ref="AN47:AR47"/>
    <mergeCell ref="AS47:AW47"/>
    <mergeCell ref="AX47:BB47"/>
    <mergeCell ref="BC47:BG47"/>
    <mergeCell ref="BH47:BL47"/>
    <mergeCell ref="BM47:BQ47"/>
    <mergeCell ref="AS46:AW46"/>
    <mergeCell ref="BH48:BL48"/>
    <mergeCell ref="BM48:BQ48"/>
    <mergeCell ref="AN46:AR46"/>
    <mergeCell ref="AN48:AR48"/>
    <mergeCell ref="BC44:BG44"/>
    <mergeCell ref="BC45:BG45"/>
    <mergeCell ref="BM51:BQ51"/>
    <mergeCell ref="AS50:AW50"/>
    <mergeCell ref="AX50:BB50"/>
    <mergeCell ref="BC50:BG50"/>
    <mergeCell ref="BH50:BL50"/>
    <mergeCell ref="AS51:AW51"/>
    <mergeCell ref="AX51:BB51"/>
    <mergeCell ref="BC51:BG51"/>
    <mergeCell ref="BH51:BL51"/>
    <mergeCell ref="BM50:BQ50"/>
    <mergeCell ref="AS40:AW40"/>
    <mergeCell ref="AB40:AD40"/>
    <mergeCell ref="AN42:AR42"/>
    <mergeCell ref="AN43:AR43"/>
    <mergeCell ref="AS43:AW43"/>
    <mergeCell ref="AX43:BB43"/>
    <mergeCell ref="AS42:AW42"/>
    <mergeCell ref="AI38:AM38"/>
    <mergeCell ref="B49:D49"/>
    <mergeCell ref="AB49:AD49"/>
    <mergeCell ref="AE49:AH49"/>
    <mergeCell ref="AB47:AD47"/>
    <mergeCell ref="AE47:AH47"/>
    <mergeCell ref="AI48:AM48"/>
    <mergeCell ref="AX46:BB46"/>
    <mergeCell ref="B40:D40"/>
    <mergeCell ref="E40:G40"/>
    <mergeCell ref="H40:J40"/>
    <mergeCell ref="O44:AA44"/>
    <mergeCell ref="AE40:AH40"/>
    <mergeCell ref="AE41:AH41"/>
    <mergeCell ref="K48:N48"/>
    <mergeCell ref="O45:AA45"/>
    <mergeCell ref="O46:AA46"/>
    <mergeCell ref="B36:D36"/>
    <mergeCell ref="B38:D38"/>
    <mergeCell ref="B42:D42"/>
    <mergeCell ref="B45:D45"/>
    <mergeCell ref="B48:D48"/>
    <mergeCell ref="B47:D47"/>
    <mergeCell ref="B46:D46"/>
    <mergeCell ref="AI44:AM44"/>
    <mergeCell ref="AI45:AM45"/>
    <mergeCell ref="AI46:AM46"/>
    <mergeCell ref="AI47:AM47"/>
    <mergeCell ref="AI40:AM40"/>
    <mergeCell ref="AI41:AM41"/>
    <mergeCell ref="AI42:AM42"/>
    <mergeCell ref="AI43:AM43"/>
    <mergeCell ref="AB48:AD48"/>
    <mergeCell ref="AE48:AH48"/>
    <mergeCell ref="AE36:AH36"/>
    <mergeCell ref="AB38:AD38"/>
    <mergeCell ref="AE38:AH38"/>
    <mergeCell ref="O47:AA47"/>
    <mergeCell ref="O48:AA48"/>
    <mergeCell ref="H48:J48"/>
    <mergeCell ref="E45:G45"/>
  </mergeCells>
  <phoneticPr fontId="11" type="noConversion"/>
  <conditionalFormatting sqref="AF54:AJ54 AS54:AX54 BH54:BL54">
    <cfRule type="cellIs" dxfId="97" priority="1" stopIfTrue="1" operator="lessThan">
      <formula>32</formula>
    </cfRule>
  </conditionalFormatting>
  <conditionalFormatting sqref="AS36:AW36">
    <cfRule type="cellIs" dxfId="96" priority="2" stopIfTrue="1" operator="greaterThan">
      <formula>$AN$36</formula>
    </cfRule>
  </conditionalFormatting>
  <conditionalFormatting sqref="AS37:AW37">
    <cfRule type="cellIs" dxfId="95" priority="3" stopIfTrue="1" operator="greaterThan">
      <formula>$AN$37</formula>
    </cfRule>
  </conditionalFormatting>
  <conditionalFormatting sqref="AS51:AW51">
    <cfRule type="cellIs" dxfId="94" priority="4" stopIfTrue="1" operator="greaterThan">
      <formula>$AN$51</formula>
    </cfRule>
  </conditionalFormatting>
  <conditionalFormatting sqref="BC36:BG36">
    <cfRule type="cellIs" dxfId="93" priority="5" stopIfTrue="1" operator="greaterThan">
      <formula>$AX$36</formula>
    </cfRule>
  </conditionalFormatting>
  <conditionalFormatting sqref="BC37:BG37">
    <cfRule type="cellIs" dxfId="92" priority="6" stopIfTrue="1" operator="greaterThan">
      <formula>$AX$37</formula>
    </cfRule>
  </conditionalFormatting>
  <conditionalFormatting sqref="BC51:BG51">
    <cfRule type="cellIs" dxfId="91" priority="7" stopIfTrue="1" operator="greaterThan">
      <formula>$AX$51</formula>
    </cfRule>
  </conditionalFormatting>
  <conditionalFormatting sqref="BM36:BQ36">
    <cfRule type="cellIs" dxfId="90" priority="8" stopIfTrue="1" operator="greaterThan">
      <formula>$BH$36</formula>
    </cfRule>
  </conditionalFormatting>
  <conditionalFormatting sqref="BM37:BQ37">
    <cfRule type="cellIs" dxfId="89" priority="9" stopIfTrue="1" operator="greaterThan">
      <formula>$BH$37</formula>
    </cfRule>
  </conditionalFormatting>
  <conditionalFormatting sqref="BM51:BQ51">
    <cfRule type="cellIs" dxfId="88" priority="10" stopIfTrue="1" operator="greaterThan">
      <formula>$BH$51</formula>
    </cfRule>
  </conditionalFormatting>
  <conditionalFormatting sqref="AS38:AW38">
    <cfRule type="cellIs" dxfId="87" priority="11" stopIfTrue="1" operator="greaterThan">
      <formula>$AN$38</formula>
    </cfRule>
  </conditionalFormatting>
  <conditionalFormatting sqref="AS39:AW39">
    <cfRule type="cellIs" dxfId="86" priority="12" stopIfTrue="1" operator="greaterThan">
      <formula>$AN$39</formula>
    </cfRule>
  </conditionalFormatting>
  <conditionalFormatting sqref="AS40:AW40">
    <cfRule type="cellIs" dxfId="85" priority="13" stopIfTrue="1" operator="greaterThan">
      <formula>$AN$40</formula>
    </cfRule>
  </conditionalFormatting>
  <conditionalFormatting sqref="AS41:AW41">
    <cfRule type="cellIs" dxfId="84" priority="14" stopIfTrue="1" operator="greaterThan">
      <formula>$AN$41</formula>
    </cfRule>
  </conditionalFormatting>
  <conditionalFormatting sqref="AS42:AW42">
    <cfRule type="cellIs" dxfId="83" priority="15" stopIfTrue="1" operator="greaterThan">
      <formula>$AN$42</formula>
    </cfRule>
  </conditionalFormatting>
  <conditionalFormatting sqref="AS43:AW43">
    <cfRule type="cellIs" dxfId="82" priority="16" stopIfTrue="1" operator="greaterThan">
      <formula>$AN$43</formula>
    </cfRule>
  </conditionalFormatting>
  <conditionalFormatting sqref="AS44:AW44">
    <cfRule type="cellIs" dxfId="81" priority="17" stopIfTrue="1" operator="greaterThan">
      <formula>$AN$44</formula>
    </cfRule>
  </conditionalFormatting>
  <conditionalFormatting sqref="AS45:AW45">
    <cfRule type="cellIs" dxfId="80" priority="18" stopIfTrue="1" operator="greaterThan">
      <formula>$AN$45</formula>
    </cfRule>
  </conditionalFormatting>
  <conditionalFormatting sqref="AS46:AW46">
    <cfRule type="cellIs" dxfId="79" priority="19" stopIfTrue="1" operator="greaterThan">
      <formula>$AN$46</formula>
    </cfRule>
  </conditionalFormatting>
  <conditionalFormatting sqref="AS47:AW47">
    <cfRule type="cellIs" dxfId="78" priority="20" stopIfTrue="1" operator="greaterThan">
      <formula>$AN$47</formula>
    </cfRule>
  </conditionalFormatting>
  <conditionalFormatting sqref="AS48:AW48">
    <cfRule type="cellIs" dxfId="77" priority="21" stopIfTrue="1" operator="greaterThan">
      <formula>$AN$48</formula>
    </cfRule>
  </conditionalFormatting>
  <conditionalFormatting sqref="AS49:AW49">
    <cfRule type="cellIs" dxfId="76" priority="22" stopIfTrue="1" operator="greaterThan">
      <formula>$AN$49</formula>
    </cfRule>
  </conditionalFormatting>
  <conditionalFormatting sqref="AS50:AW50">
    <cfRule type="cellIs" dxfId="75" priority="23" stopIfTrue="1" operator="greaterThan">
      <formula>$AN$50</formula>
    </cfRule>
  </conditionalFormatting>
  <conditionalFormatting sqref="BC38:BG38">
    <cfRule type="cellIs" dxfId="74" priority="24" stopIfTrue="1" operator="greaterThan">
      <formula>$AX$38</formula>
    </cfRule>
  </conditionalFormatting>
  <conditionalFormatting sqref="BC39:BG39">
    <cfRule type="cellIs" dxfId="73" priority="25" stopIfTrue="1" operator="greaterThan">
      <formula>$AX$39</formula>
    </cfRule>
  </conditionalFormatting>
  <conditionalFormatting sqref="BC40:BG40">
    <cfRule type="cellIs" dxfId="72" priority="26" stopIfTrue="1" operator="greaterThan">
      <formula>$AX$40</formula>
    </cfRule>
  </conditionalFormatting>
  <conditionalFormatting sqref="BC41:BG41">
    <cfRule type="cellIs" dxfId="71" priority="27" stopIfTrue="1" operator="greaterThan">
      <formula>$AX$41</formula>
    </cfRule>
  </conditionalFormatting>
  <conditionalFormatting sqref="BC43:BG43">
    <cfRule type="cellIs" dxfId="70" priority="28" stopIfTrue="1" operator="greaterThan">
      <formula>$AX$43</formula>
    </cfRule>
  </conditionalFormatting>
  <conditionalFormatting sqref="BC44:BG44">
    <cfRule type="cellIs" dxfId="69" priority="29" stopIfTrue="1" operator="greaterThan">
      <formula>$AX$44</formula>
    </cfRule>
  </conditionalFormatting>
  <conditionalFormatting sqref="BC45:BG45">
    <cfRule type="cellIs" dxfId="68" priority="30" stopIfTrue="1" operator="greaterThan">
      <formula>$AX$45</formula>
    </cfRule>
  </conditionalFormatting>
  <conditionalFormatting sqref="BC46:BG46">
    <cfRule type="cellIs" dxfId="67" priority="31" stopIfTrue="1" operator="greaterThan">
      <formula>$AX$46</formula>
    </cfRule>
  </conditionalFormatting>
  <conditionalFormatting sqref="BC47:BG47">
    <cfRule type="cellIs" dxfId="66" priority="32" stopIfTrue="1" operator="greaterThan">
      <formula>$AX$47</formula>
    </cfRule>
  </conditionalFormatting>
  <conditionalFormatting sqref="BC48:BG48">
    <cfRule type="cellIs" dxfId="65" priority="33" stopIfTrue="1" operator="greaterThan">
      <formula>$AX$48</formula>
    </cfRule>
  </conditionalFormatting>
  <conditionalFormatting sqref="BC49:BG49">
    <cfRule type="cellIs" dxfId="64" priority="34" stopIfTrue="1" operator="greaterThan">
      <formula>$AX$49</formula>
    </cfRule>
  </conditionalFormatting>
  <conditionalFormatting sqref="BC50:BG50">
    <cfRule type="cellIs" dxfId="63" priority="35" stopIfTrue="1" operator="greaterThan">
      <formula>$AX$50</formula>
    </cfRule>
  </conditionalFormatting>
  <conditionalFormatting sqref="BM38:BQ38">
    <cfRule type="cellIs" dxfId="62" priority="36" stopIfTrue="1" operator="greaterThan">
      <formula>$BH$38</formula>
    </cfRule>
  </conditionalFormatting>
  <conditionalFormatting sqref="BM39:BQ39">
    <cfRule type="cellIs" dxfId="61" priority="37" stopIfTrue="1" operator="greaterThan">
      <formula>$BH$39</formula>
    </cfRule>
  </conditionalFormatting>
  <conditionalFormatting sqref="BM40:BQ40">
    <cfRule type="cellIs" dxfId="60" priority="38" stopIfTrue="1" operator="greaterThan">
      <formula>$BH$40</formula>
    </cfRule>
  </conditionalFormatting>
  <conditionalFormatting sqref="BM41:BQ41">
    <cfRule type="cellIs" dxfId="59" priority="39" stopIfTrue="1" operator="greaterThan">
      <formula>$BH$41</formula>
    </cfRule>
  </conditionalFormatting>
  <conditionalFormatting sqref="BM42:BQ42">
    <cfRule type="cellIs" dxfId="58" priority="40" stopIfTrue="1" operator="greaterThan">
      <formula>$BH$42</formula>
    </cfRule>
  </conditionalFormatting>
  <conditionalFormatting sqref="BM43:BQ43">
    <cfRule type="cellIs" dxfId="57" priority="41" stopIfTrue="1" operator="greaterThan">
      <formula>$BH$43</formula>
    </cfRule>
  </conditionalFormatting>
  <conditionalFormatting sqref="BM44:BQ44">
    <cfRule type="cellIs" dxfId="56" priority="42" stopIfTrue="1" operator="greaterThan">
      <formula>$BH$44</formula>
    </cfRule>
  </conditionalFormatting>
  <conditionalFormatting sqref="BM45:BQ45">
    <cfRule type="cellIs" dxfId="55" priority="43" stopIfTrue="1" operator="greaterThan">
      <formula>$BH$45</formula>
    </cfRule>
  </conditionalFormatting>
  <conditionalFormatting sqref="BM46:BQ46">
    <cfRule type="cellIs" dxfId="54" priority="44" stopIfTrue="1" operator="greaterThan">
      <formula>$BH$46</formula>
    </cfRule>
  </conditionalFormatting>
  <conditionalFormatting sqref="BM47:BQ47">
    <cfRule type="cellIs" dxfId="53" priority="45" stopIfTrue="1" operator="greaterThan">
      <formula>$BH$47</formula>
    </cfRule>
  </conditionalFormatting>
  <conditionalFormatting sqref="BM48:BQ48">
    <cfRule type="cellIs" dxfId="52" priority="46" stopIfTrue="1" operator="greaterThan">
      <formula>$BH$48</formula>
    </cfRule>
  </conditionalFormatting>
  <conditionalFormatting sqref="BM49:BQ49">
    <cfRule type="cellIs" dxfId="51" priority="47" stopIfTrue="1" operator="greaterThan">
      <formula>$BH$49</formula>
    </cfRule>
  </conditionalFormatting>
  <conditionalFormatting sqref="BM50:BQ50">
    <cfRule type="cellIs" dxfId="50" priority="48" stopIfTrue="1" operator="greaterThan">
      <formula>$BH$50</formula>
    </cfRule>
  </conditionalFormatting>
  <conditionalFormatting sqref="BC42:BG42">
    <cfRule type="cellIs" dxfId="49" priority="49" stopIfTrue="1" operator="greaterThan">
      <formula>$AX$42</formula>
    </cfRule>
  </conditionalFormatting>
  <dataValidations count="2">
    <dataValidation type="list" allowBlank="1" showInputMessage="1" showErrorMessage="1" sqref="AR11:AT11">
      <formula1>$DS$35:$DS$42</formula1>
    </dataValidation>
    <dataValidation type="list" allowBlank="1" showInputMessage="1" showErrorMessage="1" sqref="AI11:AK11">
      <formula1>$DR$35:$DR$50</formula1>
    </dataValidation>
  </dataValidations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BZ62"/>
  <sheetViews>
    <sheetView showGridLines="0" showRowColHeaders="0" tabSelected="1" topLeftCell="A28" workbookViewId="0">
      <selection activeCell="BC46" sqref="BC46:BG46"/>
    </sheetView>
  </sheetViews>
  <sheetFormatPr baseColWidth="10" defaultRowHeight="12.75"/>
  <cols>
    <col min="1" max="1" width="2.7109375" style="10" customWidth="1"/>
    <col min="2" max="69" width="1.5703125" style="10" customWidth="1"/>
    <col min="70" max="245" width="1.7109375" style="10" customWidth="1"/>
    <col min="246" max="16384" width="11.42578125" style="10"/>
  </cols>
  <sheetData>
    <row r="1" spans="2:69" ht="18.95" customHeight="1" thickBot="1"/>
    <row r="2" spans="2:69" ht="35.1" customHeight="1" thickBot="1">
      <c r="B2" s="285" t="s">
        <v>117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7"/>
      <c r="BH2" s="288" t="s">
        <v>17</v>
      </c>
      <c r="BI2" s="289"/>
      <c r="BJ2" s="289"/>
      <c r="BK2" s="289"/>
      <c r="BL2" s="289"/>
      <c r="BM2" s="289"/>
      <c r="BN2" s="289"/>
      <c r="BO2" s="289"/>
      <c r="BP2" s="289"/>
      <c r="BQ2" s="290"/>
    </row>
    <row r="3" spans="2:69" ht="24.95" customHeight="1" thickBot="1">
      <c r="B3" s="294" t="s">
        <v>18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  <c r="AZ3" s="295"/>
      <c r="BA3" s="295"/>
      <c r="BB3" s="295"/>
      <c r="BC3" s="295"/>
      <c r="BD3" s="295"/>
      <c r="BE3" s="295"/>
      <c r="BF3" s="295"/>
      <c r="BG3" s="296"/>
      <c r="BH3" s="291"/>
      <c r="BI3" s="292"/>
      <c r="BJ3" s="292"/>
      <c r="BK3" s="292"/>
      <c r="BL3" s="292"/>
      <c r="BM3" s="292"/>
      <c r="BN3" s="292"/>
      <c r="BO3" s="292"/>
      <c r="BP3" s="292"/>
      <c r="BQ3" s="293"/>
    </row>
    <row r="4" spans="2:69" ht="4.5" customHeight="1" thickBot="1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0"/>
      <c r="AY4" s="50"/>
      <c r="AZ4" s="50"/>
      <c r="BA4" s="50"/>
      <c r="BB4" s="50"/>
      <c r="BC4" s="50"/>
      <c r="BD4" s="50"/>
      <c r="BE4" s="50"/>
      <c r="BF4" s="50"/>
      <c r="BG4" s="49"/>
    </row>
    <row r="5" spans="2:69" ht="4.5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2"/>
      <c r="BI5" s="13"/>
      <c r="BJ5" s="13"/>
      <c r="BK5" s="13"/>
      <c r="BL5" s="13"/>
      <c r="BM5" s="13"/>
      <c r="BN5" s="13"/>
      <c r="BO5" s="13"/>
      <c r="BP5" s="13"/>
      <c r="BQ5" s="14"/>
    </row>
    <row r="6" spans="2:69" ht="20.100000000000001" customHeight="1">
      <c r="B6" s="2"/>
      <c r="C6" s="1"/>
      <c r="D6" s="7" t="s">
        <v>19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5"/>
      <c r="AI6" s="1"/>
      <c r="AJ6" s="1"/>
      <c r="AK6" s="1"/>
      <c r="AL6" s="15"/>
      <c r="AM6" s="15"/>
      <c r="AN6" s="15"/>
      <c r="AO6" s="15"/>
      <c r="AP6" s="7"/>
      <c r="AQ6" s="7"/>
      <c r="AR6" s="7" t="s">
        <v>20</v>
      </c>
      <c r="AT6" s="7"/>
      <c r="AU6" s="7"/>
      <c r="AV6" s="7"/>
      <c r="AW6" s="7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6"/>
      <c r="BI6" s="7" t="s">
        <v>6</v>
      </c>
      <c r="BJ6" s="15"/>
      <c r="BK6" s="15"/>
      <c r="BL6" s="15"/>
      <c r="BM6" s="15"/>
      <c r="BN6" s="15"/>
      <c r="BO6" s="15"/>
      <c r="BP6" s="15"/>
      <c r="BQ6" s="17"/>
    </row>
    <row r="7" spans="2:69" ht="20.100000000000001" customHeight="1">
      <c r="B7" s="18"/>
      <c r="C7" s="19"/>
      <c r="D7" s="361" t="str">
        <f>'Abnahme_GPON_1-16'!D7:AL7</f>
        <v>NVT_V1068_38327_004_FTTH_HK_4R_14 UL_Ost1_MBfD</v>
      </c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1"/>
      <c r="X7" s="361"/>
      <c r="Y7" s="361"/>
      <c r="Z7" s="361"/>
      <c r="AA7" s="361"/>
      <c r="AB7" s="361"/>
      <c r="AC7" s="361"/>
      <c r="AD7" s="361"/>
      <c r="AE7" s="361"/>
      <c r="AF7" s="361"/>
      <c r="AG7" s="361"/>
      <c r="AH7" s="361"/>
      <c r="AI7" s="361"/>
      <c r="AJ7" s="361"/>
      <c r="AK7" s="361"/>
      <c r="AL7" s="361"/>
      <c r="AM7" s="19"/>
      <c r="AN7" s="19"/>
      <c r="AO7" s="19"/>
      <c r="AP7" s="19"/>
      <c r="AQ7" s="19"/>
      <c r="AR7" s="367" t="str">
        <f>'Abnahme_GPON_1-16'!AR7:BE7</f>
        <v>203519978</v>
      </c>
      <c r="AS7" s="367"/>
      <c r="AT7" s="367"/>
      <c r="AU7" s="367"/>
      <c r="AV7" s="367"/>
      <c r="AW7" s="367"/>
      <c r="AX7" s="367"/>
      <c r="AY7" s="367"/>
      <c r="AZ7" s="367"/>
      <c r="BA7" s="367"/>
      <c r="BB7" s="367"/>
      <c r="BC7" s="367"/>
      <c r="BD7" s="367"/>
      <c r="BE7" s="367"/>
      <c r="BF7" s="367"/>
      <c r="BG7" s="19"/>
      <c r="BH7" s="18"/>
      <c r="BI7" s="365">
        <v>2</v>
      </c>
      <c r="BJ7" s="365"/>
      <c r="BK7" s="362" t="s">
        <v>5</v>
      </c>
      <c r="BL7" s="362"/>
      <c r="BM7" s="362"/>
      <c r="BN7" s="365">
        <v>2</v>
      </c>
      <c r="BO7" s="365"/>
      <c r="BP7" s="151"/>
      <c r="BQ7" s="20"/>
    </row>
    <row r="8" spans="2:69" ht="4.5" customHeight="1" thickBot="1">
      <c r="B8" s="21"/>
      <c r="C8" s="23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3"/>
      <c r="AN8" s="23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4"/>
      <c r="BI8" s="22"/>
      <c r="BJ8" s="22"/>
      <c r="BK8" s="22"/>
      <c r="BL8" s="22"/>
      <c r="BM8" s="22"/>
      <c r="BN8" s="22"/>
      <c r="BO8" s="22"/>
      <c r="BP8" s="22"/>
      <c r="BQ8" s="25"/>
    </row>
    <row r="9" spans="2:69" ht="4.5" customHeight="1" thickBot="1"/>
    <row r="10" spans="2:69" s="11" customFormat="1" ht="4.5" customHeight="1"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60"/>
    </row>
    <row r="11" spans="2:69" s="31" customFormat="1" ht="20.100000000000001" customHeight="1">
      <c r="B11" s="61"/>
      <c r="C11" s="62"/>
      <c r="D11" s="63" t="s">
        <v>149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R11" s="64"/>
      <c r="S11" s="64"/>
      <c r="T11" s="266" t="s">
        <v>2</v>
      </c>
      <c r="U11" s="266"/>
      <c r="V11" s="266"/>
      <c r="W11" s="266"/>
      <c r="X11" s="302">
        <f>'Abnahme_GPON_1-16'!$X$11</f>
        <v>0</v>
      </c>
      <c r="Y11" s="302"/>
      <c r="Z11" s="302"/>
      <c r="AA11" s="302"/>
      <c r="AB11" s="302"/>
      <c r="AC11" s="344"/>
      <c r="AD11" s="344"/>
      <c r="AE11" s="266" t="s">
        <v>158</v>
      </c>
      <c r="AF11" s="266"/>
      <c r="AG11" s="266"/>
      <c r="AH11" s="266"/>
      <c r="AI11" s="363">
        <f>'Abnahme_GPON_1-16'!$AI$11</f>
        <v>0</v>
      </c>
      <c r="AJ11" s="363"/>
      <c r="AK11" s="363"/>
      <c r="AL11" s="65"/>
      <c r="AM11" s="66"/>
      <c r="AN11" s="266" t="s">
        <v>71</v>
      </c>
      <c r="AO11" s="266"/>
      <c r="AP11" s="266"/>
      <c r="AQ11" s="266"/>
      <c r="AR11" s="363">
        <f>'Abnahme_GPON_1-16'!$AR$11</f>
        <v>0</v>
      </c>
      <c r="AS11" s="363"/>
      <c r="AT11" s="363"/>
      <c r="AU11" s="65"/>
      <c r="AV11" s="66"/>
      <c r="AW11" s="66"/>
      <c r="AX11" s="266" t="s">
        <v>151</v>
      </c>
      <c r="AY11" s="266"/>
      <c r="AZ11" s="266"/>
      <c r="BA11" s="266"/>
      <c r="BB11" s="266"/>
      <c r="BC11" s="302">
        <f>'Abnahme_GPON_1-16'!$BC$11</f>
        <v>0</v>
      </c>
      <c r="BD11" s="302"/>
      <c r="BE11" s="302"/>
      <c r="BF11" s="302"/>
      <c r="BG11" s="64"/>
      <c r="BH11" s="63"/>
      <c r="BI11" s="62"/>
      <c r="BJ11" s="62"/>
      <c r="BK11" s="62"/>
      <c r="BL11" s="62"/>
      <c r="BM11" s="62"/>
      <c r="BN11" s="79"/>
      <c r="BO11" s="79"/>
      <c r="BP11" s="79"/>
      <c r="BQ11" s="67"/>
    </row>
    <row r="12" spans="2:69" s="31" customFormat="1" ht="4.5" customHeight="1">
      <c r="B12" s="61"/>
      <c r="C12" s="62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2"/>
      <c r="BI12" s="62"/>
      <c r="BJ12" s="62"/>
      <c r="BK12" s="62"/>
      <c r="BL12" s="62"/>
      <c r="BM12" s="62"/>
      <c r="BN12" s="62"/>
      <c r="BO12" s="62"/>
      <c r="BP12" s="62"/>
      <c r="BQ12" s="67"/>
    </row>
    <row r="13" spans="2:69" s="31" customFormat="1" ht="20.100000000000001" customHeight="1">
      <c r="B13" s="61"/>
      <c r="C13" s="62"/>
      <c r="D13" s="63" t="s">
        <v>150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8"/>
      <c r="S13" s="65"/>
      <c r="T13" s="68" t="s">
        <v>65</v>
      </c>
      <c r="U13" s="65"/>
      <c r="V13" s="65"/>
      <c r="W13" s="65"/>
      <c r="X13" s="302" t="str">
        <f>'Abnahme_GPON_1-16'!$X$13</f>
        <v>4R14</v>
      </c>
      <c r="Y13" s="302"/>
      <c r="Z13" s="302"/>
      <c r="AA13" s="302"/>
      <c r="AB13" s="302"/>
      <c r="AC13" s="66"/>
      <c r="AD13" s="66"/>
      <c r="AE13" s="63" t="s">
        <v>37</v>
      </c>
      <c r="AF13" s="65"/>
      <c r="AG13" s="65"/>
      <c r="AH13" s="66"/>
      <c r="AI13" s="302">
        <f>'Abnahme_GPON_1-16'!$AI$13</f>
        <v>14</v>
      </c>
      <c r="AJ13" s="302"/>
      <c r="AK13" s="302"/>
      <c r="AL13" s="66"/>
      <c r="AM13" s="66"/>
      <c r="AN13" s="364" t="s">
        <v>87</v>
      </c>
      <c r="AO13" s="364"/>
      <c r="AP13" s="364"/>
      <c r="AQ13" s="68" t="s">
        <v>66</v>
      </c>
      <c r="AR13" s="302">
        <f>'Abnahme_GPON_1-16'!$AR$13</f>
        <v>1068</v>
      </c>
      <c r="AS13" s="302"/>
      <c r="AT13" s="302"/>
      <c r="AU13" s="66"/>
      <c r="AV13" s="66"/>
      <c r="AW13" s="66"/>
      <c r="AX13" s="333" t="s">
        <v>88</v>
      </c>
      <c r="AY13" s="333"/>
      <c r="AZ13" s="333"/>
      <c r="BA13" s="333"/>
      <c r="BB13" s="333"/>
      <c r="BC13" s="302">
        <f>'Abnahme_GPON_1-16'!$BC$13</f>
        <v>2</v>
      </c>
      <c r="BD13" s="302"/>
      <c r="BE13" s="302"/>
      <c r="BF13" s="302"/>
      <c r="BG13" s="64"/>
      <c r="BH13" s="62"/>
      <c r="BI13" s="62"/>
      <c r="BJ13" s="62"/>
      <c r="BK13" s="62"/>
      <c r="BL13" s="62"/>
      <c r="BM13" s="62"/>
      <c r="BN13" s="62"/>
      <c r="BO13" s="62"/>
      <c r="BP13" s="62"/>
      <c r="BQ13" s="67"/>
    </row>
    <row r="14" spans="2:69" s="31" customFormat="1" ht="4.5" customHeight="1">
      <c r="B14" s="61"/>
      <c r="C14" s="62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4"/>
      <c r="BH14" s="64"/>
      <c r="BI14" s="62"/>
      <c r="BJ14" s="62"/>
      <c r="BK14" s="62"/>
      <c r="BL14" s="62"/>
      <c r="BM14" s="62"/>
      <c r="BN14" s="62"/>
      <c r="BO14" s="62"/>
      <c r="BP14" s="62"/>
      <c r="BQ14" s="67"/>
    </row>
    <row r="15" spans="2:69" s="31" customFormat="1" ht="4.5" customHeight="1" thickBot="1">
      <c r="B15" s="69"/>
      <c r="C15" s="70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0"/>
      <c r="BJ15" s="70"/>
      <c r="BK15" s="70"/>
      <c r="BL15" s="70"/>
      <c r="BM15" s="70"/>
      <c r="BN15" s="70"/>
      <c r="BO15" s="70"/>
      <c r="BP15" s="70"/>
      <c r="BQ15" s="72"/>
    </row>
    <row r="16" spans="2:69" s="31" customFormat="1" ht="4.5" customHeight="1" thickBot="1">
      <c r="B16" s="66"/>
      <c r="C16" s="66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66"/>
      <c r="BJ16" s="66"/>
      <c r="BK16" s="66"/>
      <c r="BL16" s="66"/>
      <c r="BM16" s="66"/>
      <c r="BN16" s="66"/>
      <c r="BO16" s="66"/>
      <c r="BP16" s="66"/>
      <c r="BQ16" s="66"/>
    </row>
    <row r="17" spans="2:78" s="31" customFormat="1" ht="4.5" customHeight="1">
      <c r="B17" s="74"/>
      <c r="C17" s="75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5"/>
      <c r="BJ17" s="75"/>
      <c r="BK17" s="75"/>
      <c r="BL17" s="75"/>
      <c r="BM17" s="75"/>
      <c r="BN17" s="75"/>
      <c r="BO17" s="75"/>
      <c r="BP17" s="75"/>
      <c r="BQ17" s="77"/>
    </row>
    <row r="18" spans="2:78" s="31" customFormat="1" ht="20.100000000000001" customHeight="1">
      <c r="B18" s="61"/>
      <c r="C18" s="62"/>
      <c r="D18" s="63" t="s">
        <v>114</v>
      </c>
      <c r="E18" s="64"/>
      <c r="F18" s="64"/>
      <c r="G18" s="64"/>
      <c r="H18" s="64"/>
      <c r="I18" s="64"/>
      <c r="J18" s="64"/>
      <c r="K18" s="64"/>
      <c r="L18" s="63" t="s">
        <v>115</v>
      </c>
      <c r="N18" s="64"/>
      <c r="O18" s="64"/>
      <c r="P18" s="64"/>
      <c r="Q18" s="64"/>
      <c r="R18" s="64"/>
      <c r="S18" s="368" t="str">
        <f>'Abnahme_GPON_1-16'!S18:AB18</f>
        <v>ORL 55/85</v>
      </c>
      <c r="T18" s="368"/>
      <c r="U18" s="368"/>
      <c r="V18" s="368"/>
      <c r="W18" s="368"/>
      <c r="X18" s="368"/>
      <c r="Y18" s="368"/>
      <c r="Z18" s="368"/>
      <c r="AA18" s="368"/>
      <c r="AB18" s="368"/>
      <c r="AC18" s="64"/>
      <c r="AD18" s="64"/>
      <c r="AE18" s="78" t="s">
        <v>35</v>
      </c>
      <c r="AF18" s="62"/>
      <c r="AG18" s="64"/>
      <c r="AH18" s="64"/>
      <c r="AI18" s="64"/>
      <c r="AJ18" s="64"/>
      <c r="AK18" s="366">
        <f>'Abnahme_GPON_1-16'!AK18:AS18</f>
        <v>0</v>
      </c>
      <c r="AL18" s="366"/>
      <c r="AM18" s="366"/>
      <c r="AN18" s="366"/>
      <c r="AO18" s="366"/>
      <c r="AP18" s="366"/>
      <c r="AQ18" s="366"/>
      <c r="AR18" s="366"/>
      <c r="AS18" s="366"/>
      <c r="AT18" s="64"/>
      <c r="AU18" s="78" t="s">
        <v>36</v>
      </c>
      <c r="AV18" s="64"/>
      <c r="AW18" s="64"/>
      <c r="AX18" s="64"/>
      <c r="AY18" s="64"/>
      <c r="AZ18" s="64"/>
      <c r="BA18" s="64"/>
      <c r="BB18" s="64"/>
      <c r="BC18" s="366">
        <f>'Abnahme_GPON_1-16'!BC18:BM18</f>
        <v>0</v>
      </c>
      <c r="BD18" s="366"/>
      <c r="BE18" s="366"/>
      <c r="BF18" s="366"/>
      <c r="BG18" s="366"/>
      <c r="BH18" s="366"/>
      <c r="BI18" s="366"/>
      <c r="BJ18" s="366"/>
      <c r="BK18" s="366"/>
      <c r="BL18" s="366"/>
      <c r="BM18" s="366"/>
      <c r="BN18" s="65"/>
      <c r="BO18" s="65"/>
      <c r="BP18" s="65"/>
      <c r="BQ18" s="67"/>
      <c r="BZ18" s="56"/>
    </row>
    <row r="19" spans="2:78" s="31" customFormat="1" ht="4.5" customHeight="1">
      <c r="B19" s="61"/>
      <c r="C19" s="62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2"/>
      <c r="BJ19" s="62"/>
      <c r="BK19" s="62"/>
      <c r="BL19" s="62"/>
      <c r="BM19" s="62"/>
      <c r="BN19" s="79"/>
      <c r="BO19" s="79"/>
      <c r="BP19" s="62"/>
      <c r="BQ19" s="67"/>
    </row>
    <row r="20" spans="2:78" s="31" customFormat="1" ht="20.100000000000001" customHeight="1">
      <c r="B20" s="61"/>
      <c r="C20" s="62"/>
      <c r="D20" s="63" t="s">
        <v>116</v>
      </c>
      <c r="E20" s="64"/>
      <c r="F20" s="64"/>
      <c r="G20" s="64"/>
      <c r="H20" s="64"/>
      <c r="I20" s="64"/>
      <c r="J20" s="64"/>
      <c r="K20" s="64"/>
      <c r="L20" s="63" t="s">
        <v>115</v>
      </c>
      <c r="M20" s="64"/>
      <c r="N20" s="64"/>
      <c r="O20" s="64"/>
      <c r="P20" s="64"/>
      <c r="Q20" s="64"/>
      <c r="R20" s="64"/>
      <c r="S20" s="368" t="str">
        <f>'Abnahme_GPON_1-16'!S20:AB20</f>
        <v>OLP 55/85 S</v>
      </c>
      <c r="T20" s="368"/>
      <c r="U20" s="368"/>
      <c r="V20" s="368"/>
      <c r="W20" s="368"/>
      <c r="X20" s="368"/>
      <c r="Y20" s="368"/>
      <c r="Z20" s="368"/>
      <c r="AA20" s="368"/>
      <c r="AB20" s="368"/>
      <c r="AC20" s="64"/>
      <c r="AD20" s="64"/>
      <c r="AE20" s="78" t="s">
        <v>35</v>
      </c>
      <c r="AF20" s="62"/>
      <c r="AG20" s="64"/>
      <c r="AH20" s="64"/>
      <c r="AI20" s="64"/>
      <c r="AJ20" s="64"/>
      <c r="AK20" s="366">
        <f>'Abnahme_GPON_1-16'!AK20:AS20</f>
        <v>0</v>
      </c>
      <c r="AL20" s="366"/>
      <c r="AM20" s="366"/>
      <c r="AN20" s="366"/>
      <c r="AO20" s="366"/>
      <c r="AP20" s="366"/>
      <c r="AQ20" s="366"/>
      <c r="AR20" s="366"/>
      <c r="AS20" s="366"/>
      <c r="AT20" s="64"/>
      <c r="AU20" s="78" t="s">
        <v>36</v>
      </c>
      <c r="AV20" s="64"/>
      <c r="AW20" s="64"/>
      <c r="AX20" s="64"/>
      <c r="AY20" s="64"/>
      <c r="AZ20" s="64"/>
      <c r="BA20" s="64"/>
      <c r="BB20" s="64"/>
      <c r="BC20" s="366">
        <f>'Abnahme_GPON_1-16'!BC20:BM20</f>
        <v>0</v>
      </c>
      <c r="BD20" s="366"/>
      <c r="BE20" s="366"/>
      <c r="BF20" s="366"/>
      <c r="BG20" s="366"/>
      <c r="BH20" s="366"/>
      <c r="BI20" s="366"/>
      <c r="BJ20" s="366"/>
      <c r="BK20" s="366"/>
      <c r="BL20" s="366"/>
      <c r="BM20" s="366"/>
      <c r="BN20" s="65"/>
      <c r="BO20" s="65"/>
      <c r="BP20" s="65"/>
      <c r="BQ20" s="67"/>
    </row>
    <row r="21" spans="2:78" s="31" customFormat="1" ht="4.5" customHeight="1" thickBot="1">
      <c r="B21" s="69"/>
      <c r="C21" s="70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0"/>
      <c r="BJ21" s="70"/>
      <c r="BK21" s="70"/>
      <c r="BL21" s="70"/>
      <c r="BM21" s="70"/>
      <c r="BN21" s="70"/>
      <c r="BO21" s="70"/>
      <c r="BP21" s="70"/>
      <c r="BQ21" s="72"/>
    </row>
    <row r="22" spans="2:78" s="31" customFormat="1" ht="4.5" customHeight="1" thickBot="1">
      <c r="B22" s="66"/>
      <c r="C22" s="66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64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66"/>
      <c r="BJ22" s="66"/>
      <c r="BK22" s="66"/>
      <c r="BL22" s="66"/>
      <c r="BM22" s="66"/>
      <c r="BN22" s="66"/>
      <c r="BO22" s="66"/>
      <c r="BP22" s="66"/>
      <c r="BQ22" s="66"/>
    </row>
    <row r="23" spans="2:78" s="31" customFormat="1" ht="4.5" customHeight="1">
      <c r="B23" s="74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80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81"/>
      <c r="AM23" s="75"/>
      <c r="AN23" s="75"/>
      <c r="AO23" s="75"/>
      <c r="AP23" s="75"/>
      <c r="AQ23" s="75"/>
      <c r="AR23" s="80"/>
      <c r="AS23" s="81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7"/>
    </row>
    <row r="24" spans="2:78" s="31" customFormat="1" ht="17.100000000000001" customHeight="1">
      <c r="B24" s="61"/>
      <c r="C24" s="78" t="s">
        <v>28</v>
      </c>
      <c r="D24" s="66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2"/>
      <c r="Q24" s="62"/>
      <c r="R24" s="82"/>
      <c r="S24" s="62"/>
      <c r="T24" s="164" t="s">
        <v>136</v>
      </c>
      <c r="U24" s="164"/>
      <c r="V24" s="164"/>
      <c r="W24" s="164"/>
      <c r="X24" s="164"/>
      <c r="Y24" s="164"/>
      <c r="Z24" s="164"/>
      <c r="AA24" s="79"/>
      <c r="AB24" s="79"/>
      <c r="AC24" s="85"/>
      <c r="AD24" s="85"/>
      <c r="AE24" s="84"/>
      <c r="AF24" s="162"/>
      <c r="AG24" s="355">
        <f>'Abnahme_GPON_1-16'!AG24:AI24</f>
        <v>0</v>
      </c>
      <c r="AH24" s="356"/>
      <c r="AI24" s="357"/>
      <c r="AJ24" s="333" t="s">
        <v>137</v>
      </c>
      <c r="AK24" s="334"/>
      <c r="AL24" s="283" t="s">
        <v>134</v>
      </c>
      <c r="AM24" s="260"/>
      <c r="AN24" s="260"/>
      <c r="AO24" s="260"/>
      <c r="AP24" s="260"/>
      <c r="AQ24" s="260"/>
      <c r="AR24" s="284"/>
      <c r="AS24" s="261" t="s">
        <v>64</v>
      </c>
      <c r="AT24" s="262"/>
      <c r="AU24" s="262"/>
      <c r="AV24" s="262"/>
      <c r="AW24" s="262"/>
      <c r="AX24" s="262"/>
      <c r="AY24" s="262"/>
      <c r="AZ24" s="262"/>
      <c r="BA24" s="262"/>
      <c r="BB24" s="262"/>
      <c r="BC24" s="79"/>
      <c r="BD24" s="79"/>
      <c r="BE24" s="79"/>
      <c r="BF24" s="79"/>
      <c r="BG24" s="85"/>
      <c r="BH24" s="85"/>
      <c r="BI24" s="84"/>
      <c r="BJ24" s="68"/>
      <c r="BK24" s="68"/>
      <c r="BL24" s="68"/>
      <c r="BM24" s="68"/>
      <c r="BN24" s="63"/>
      <c r="BO24" s="63"/>
      <c r="BP24" s="63"/>
      <c r="BQ24" s="67"/>
    </row>
    <row r="25" spans="2:78" s="31" customFormat="1" ht="17.100000000000001" customHeight="1">
      <c r="B25" s="61"/>
      <c r="C25" s="78" t="s">
        <v>30</v>
      </c>
      <c r="D25" s="66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2"/>
      <c r="Q25" s="78"/>
      <c r="R25" s="82"/>
      <c r="S25" s="62"/>
      <c r="T25" s="164" t="s">
        <v>138</v>
      </c>
      <c r="U25" s="62"/>
      <c r="V25" s="78"/>
      <c r="W25" s="64"/>
      <c r="X25" s="84"/>
      <c r="Y25" s="84"/>
      <c r="Z25" s="84"/>
      <c r="AA25" s="84"/>
      <c r="AB25" s="86"/>
      <c r="AC25" s="30"/>
      <c r="AD25" s="30"/>
      <c r="AE25" s="349">
        <f>'Abnahme_GPON_1-16'!AE25:AI25</f>
        <v>1049.5999999999999</v>
      </c>
      <c r="AF25" s="350"/>
      <c r="AG25" s="350"/>
      <c r="AH25" s="350"/>
      <c r="AI25" s="351"/>
      <c r="AJ25" s="333" t="s">
        <v>137</v>
      </c>
      <c r="AK25" s="334"/>
      <c r="AL25" s="280" t="s">
        <v>135</v>
      </c>
      <c r="AM25" s="281"/>
      <c r="AN25" s="281"/>
      <c r="AO25" s="281"/>
      <c r="AP25" s="281"/>
      <c r="AQ25" s="281"/>
      <c r="AR25" s="282"/>
      <c r="AS25" s="263" t="s">
        <v>128</v>
      </c>
      <c r="AT25" s="264"/>
      <c r="AU25" s="264"/>
      <c r="AV25" s="264"/>
      <c r="AW25" s="264"/>
      <c r="AX25" s="264"/>
      <c r="AY25" s="264"/>
      <c r="AZ25" s="264"/>
      <c r="BA25" s="264" t="s">
        <v>129</v>
      </c>
      <c r="BB25" s="264"/>
      <c r="BC25" s="264"/>
      <c r="BD25" s="264"/>
      <c r="BE25" s="264"/>
      <c r="BF25" s="264"/>
      <c r="BG25" s="264"/>
      <c r="BH25" s="264"/>
      <c r="BI25" s="264" t="s">
        <v>130</v>
      </c>
      <c r="BJ25" s="264"/>
      <c r="BK25" s="264"/>
      <c r="BL25" s="264"/>
      <c r="BM25" s="264"/>
      <c r="BN25" s="264"/>
      <c r="BO25" s="264"/>
      <c r="BP25" s="264"/>
      <c r="BQ25" s="67"/>
    </row>
    <row r="26" spans="2:78" s="31" customFormat="1" ht="4.5" customHeight="1">
      <c r="B26" s="61"/>
      <c r="C26" s="62"/>
      <c r="D26" s="78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2"/>
      <c r="Q26" s="78"/>
      <c r="R26" s="82"/>
      <c r="S26" s="88"/>
      <c r="T26" s="88"/>
      <c r="U26" s="88"/>
      <c r="V26" s="89"/>
      <c r="W26" s="90"/>
      <c r="X26" s="91"/>
      <c r="Y26" s="91"/>
      <c r="Z26" s="91"/>
      <c r="AA26" s="91"/>
      <c r="AB26" s="92"/>
      <c r="AC26" s="92"/>
      <c r="AD26" s="86"/>
      <c r="AE26" s="64"/>
      <c r="AF26" s="62"/>
      <c r="AG26" s="62"/>
      <c r="AH26" s="119"/>
      <c r="AI26" s="62"/>
      <c r="AJ26" s="62"/>
      <c r="AK26" s="62"/>
      <c r="AL26" s="163"/>
      <c r="AM26" s="62"/>
      <c r="AN26" s="120"/>
      <c r="AO26" s="121"/>
      <c r="AP26" s="87"/>
      <c r="AQ26" s="164"/>
      <c r="AR26" s="165"/>
      <c r="AS26" s="94"/>
      <c r="AT26" s="93"/>
      <c r="AU26" s="88"/>
      <c r="AV26" s="88"/>
      <c r="AW26" s="88"/>
      <c r="AX26" s="88"/>
      <c r="AY26" s="95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96"/>
      <c r="BK26" s="96"/>
      <c r="BL26" s="146"/>
      <c r="BM26" s="146"/>
      <c r="BN26" s="96"/>
      <c r="BO26" s="96"/>
      <c r="BP26" s="96"/>
      <c r="BQ26" s="97"/>
    </row>
    <row r="27" spans="2:78" s="31" customFormat="1" ht="4.5" customHeight="1">
      <c r="B27" s="61"/>
      <c r="C27" s="62"/>
      <c r="D27" s="78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2"/>
      <c r="Q27" s="78"/>
      <c r="R27" s="82"/>
      <c r="S27" s="98"/>
      <c r="T27" s="98"/>
      <c r="U27" s="98"/>
      <c r="V27" s="99"/>
      <c r="W27" s="100"/>
      <c r="X27" s="101"/>
      <c r="Y27" s="101"/>
      <c r="Z27" s="101"/>
      <c r="AA27" s="101"/>
      <c r="AB27" s="102"/>
      <c r="AC27" s="102"/>
      <c r="AD27" s="103"/>
      <c r="AE27" s="100"/>
      <c r="AF27" s="98"/>
      <c r="AG27" s="98"/>
      <c r="AH27" s="104"/>
      <c r="AI27" s="98"/>
      <c r="AJ27" s="98"/>
      <c r="AK27" s="98"/>
      <c r="AL27" s="98"/>
      <c r="AM27" s="98"/>
      <c r="AN27" s="105"/>
      <c r="AO27" s="106"/>
      <c r="AP27" s="107"/>
      <c r="AQ27" s="108"/>
      <c r="AR27" s="109"/>
      <c r="AS27" s="110"/>
      <c r="AT27" s="104"/>
      <c r="AU27" s="98"/>
      <c r="AV27" s="98"/>
      <c r="AW27" s="98"/>
      <c r="AX27" s="98"/>
      <c r="AY27" s="111"/>
      <c r="AZ27" s="98"/>
      <c r="BA27" s="98"/>
      <c r="BB27" s="98"/>
      <c r="BC27" s="98"/>
      <c r="BD27" s="112"/>
      <c r="BE27" s="98"/>
      <c r="BF27" s="98"/>
      <c r="BG27" s="98"/>
      <c r="BH27" s="98"/>
      <c r="BI27" s="98"/>
      <c r="BJ27" s="113"/>
      <c r="BK27" s="113"/>
      <c r="BL27" s="147"/>
      <c r="BM27" s="147"/>
      <c r="BN27" s="113"/>
      <c r="BO27" s="113"/>
      <c r="BP27" s="113"/>
      <c r="BQ27" s="114"/>
    </row>
    <row r="28" spans="2:78" s="31" customFormat="1" ht="17.100000000000001" customHeight="1">
      <c r="B28" s="61"/>
      <c r="C28" s="83" t="s">
        <v>25</v>
      </c>
      <c r="D28" s="115" t="s">
        <v>32</v>
      </c>
      <c r="E28" s="66"/>
      <c r="F28" s="84"/>
      <c r="G28" s="115"/>
      <c r="H28" s="115"/>
      <c r="I28" s="84" t="s">
        <v>23</v>
      </c>
      <c r="J28" s="66"/>
      <c r="K28" s="260">
        <v>0.36</v>
      </c>
      <c r="L28" s="260"/>
      <c r="M28" s="260"/>
      <c r="N28" s="78" t="s">
        <v>33</v>
      </c>
      <c r="O28" s="66"/>
      <c r="P28" s="62"/>
      <c r="Q28" s="78"/>
      <c r="R28" s="116"/>
      <c r="S28" s="62"/>
      <c r="T28" s="78" t="s">
        <v>29</v>
      </c>
      <c r="U28" s="62"/>
      <c r="V28" s="64"/>
      <c r="W28" s="84"/>
      <c r="X28" s="84"/>
      <c r="Y28" s="84"/>
      <c r="Z28" s="84"/>
      <c r="AA28" s="86"/>
      <c r="AB28" s="86"/>
      <c r="AC28" s="86"/>
      <c r="AD28" s="117"/>
      <c r="AE28" s="78" t="s">
        <v>22</v>
      </c>
      <c r="AF28" s="84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82"/>
      <c r="AS28" s="148"/>
      <c r="AT28" s="62"/>
      <c r="AU28" s="63" t="s">
        <v>89</v>
      </c>
      <c r="AV28" s="62"/>
      <c r="AW28" s="62"/>
      <c r="AX28" s="62"/>
      <c r="AY28" s="62"/>
      <c r="AZ28" s="62"/>
      <c r="BA28" s="62"/>
      <c r="BB28" s="62"/>
      <c r="BC28" s="62"/>
      <c r="BD28" s="82"/>
      <c r="BE28" s="62"/>
      <c r="BF28" s="62"/>
      <c r="BG28" s="62"/>
      <c r="BH28" s="62"/>
      <c r="BI28" s="63" t="s">
        <v>90</v>
      </c>
      <c r="BJ28" s="118"/>
      <c r="BK28" s="118"/>
      <c r="BL28" s="62"/>
      <c r="BM28" s="62"/>
      <c r="BN28" s="118"/>
      <c r="BO28" s="118"/>
      <c r="BP28" s="118"/>
      <c r="BQ28" s="67"/>
    </row>
    <row r="29" spans="2:78" s="31" customFormat="1" ht="17.100000000000001" customHeight="1">
      <c r="B29" s="61"/>
      <c r="C29" s="83" t="s">
        <v>25</v>
      </c>
      <c r="D29" s="115" t="s">
        <v>60</v>
      </c>
      <c r="E29" s="66"/>
      <c r="F29" s="84"/>
      <c r="G29" s="115"/>
      <c r="H29" s="115"/>
      <c r="I29" s="84" t="s">
        <v>23</v>
      </c>
      <c r="J29" s="66"/>
      <c r="K29" s="260">
        <v>0.24</v>
      </c>
      <c r="L29" s="260"/>
      <c r="M29" s="260"/>
      <c r="N29" s="78" t="s">
        <v>33</v>
      </c>
      <c r="O29" s="66"/>
      <c r="P29" s="62"/>
      <c r="Q29" s="78"/>
      <c r="R29" s="116"/>
      <c r="S29" s="64"/>
      <c r="T29" s="78" t="s">
        <v>31</v>
      </c>
      <c r="U29" s="62"/>
      <c r="V29" s="64"/>
      <c r="W29" s="84"/>
      <c r="X29" s="84"/>
      <c r="Y29" s="84"/>
      <c r="Z29" s="84"/>
      <c r="AA29" s="86"/>
      <c r="AB29" s="86"/>
      <c r="AC29" s="86"/>
      <c r="AD29" s="117"/>
      <c r="AE29" s="119" t="s">
        <v>24</v>
      </c>
      <c r="AF29" s="62"/>
      <c r="AG29" s="62"/>
      <c r="AH29" s="62"/>
      <c r="AI29" s="62"/>
      <c r="AJ29" s="62"/>
      <c r="AK29" s="120" t="s">
        <v>25</v>
      </c>
      <c r="AL29" s="121" t="s">
        <v>26</v>
      </c>
      <c r="AM29" s="87" t="s">
        <v>23</v>
      </c>
      <c r="AN29" s="260">
        <v>0.25</v>
      </c>
      <c r="AO29" s="260"/>
      <c r="AP29" s="260"/>
      <c r="AQ29" s="119" t="s">
        <v>0</v>
      </c>
      <c r="AR29" s="82"/>
      <c r="AS29" s="122"/>
      <c r="AT29" s="62"/>
      <c r="AU29" s="123" t="s">
        <v>91</v>
      </c>
      <c r="AV29" s="123"/>
      <c r="AW29" s="123"/>
      <c r="AX29" s="62"/>
      <c r="AY29" s="375" t="str">
        <f>IF('Abnahme_GPON_1-16'!AY29:AZ29="x","x"," ")</f>
        <v xml:space="preserve"> </v>
      </c>
      <c r="AZ29" s="376"/>
      <c r="BA29" s="149"/>
      <c r="BB29" s="149"/>
      <c r="BC29" s="62"/>
      <c r="BD29" s="82"/>
      <c r="BE29" s="62"/>
      <c r="BF29" s="62"/>
      <c r="BG29" s="62"/>
      <c r="BH29" s="62"/>
      <c r="BI29" s="266" t="s">
        <v>93</v>
      </c>
      <c r="BJ29" s="266"/>
      <c r="BK29" s="266"/>
      <c r="BL29" s="62"/>
      <c r="BM29" s="62"/>
      <c r="BN29" s="375" t="str">
        <f>IF('Abnahme_GPON_1-16'!BN29:BO29="x","x"," ")</f>
        <v xml:space="preserve"> </v>
      </c>
      <c r="BO29" s="376"/>
      <c r="BP29" s="149"/>
      <c r="BQ29" s="67"/>
    </row>
    <row r="30" spans="2:78" s="31" customFormat="1" ht="17.100000000000001" customHeight="1">
      <c r="B30" s="61"/>
      <c r="C30" s="83" t="s">
        <v>25</v>
      </c>
      <c r="D30" s="115" t="s">
        <v>34</v>
      </c>
      <c r="E30" s="66"/>
      <c r="F30" s="84"/>
      <c r="G30" s="115"/>
      <c r="H30" s="115"/>
      <c r="I30" s="84" t="s">
        <v>23</v>
      </c>
      <c r="J30" s="66"/>
      <c r="K30" s="260">
        <v>0.25</v>
      </c>
      <c r="L30" s="260"/>
      <c r="M30" s="260"/>
      <c r="N30" s="78" t="s">
        <v>33</v>
      </c>
      <c r="O30" s="66"/>
      <c r="P30" s="78"/>
      <c r="Q30" s="84"/>
      <c r="R30" s="124"/>
      <c r="S30" s="62"/>
      <c r="T30" s="125" t="s">
        <v>25</v>
      </c>
      <c r="U30" s="126" t="s">
        <v>27</v>
      </c>
      <c r="V30" s="87" t="s">
        <v>23</v>
      </c>
      <c r="W30" s="260">
        <v>0.2</v>
      </c>
      <c r="X30" s="260"/>
      <c r="Y30" s="260"/>
      <c r="Z30" s="78" t="s">
        <v>33</v>
      </c>
      <c r="AA30" s="62"/>
      <c r="AB30" s="78"/>
      <c r="AC30" s="78"/>
      <c r="AD30" s="127"/>
      <c r="AE30" s="62"/>
      <c r="AF30" s="62"/>
      <c r="AG30" s="62"/>
      <c r="AH30" s="62"/>
      <c r="AI30" s="62"/>
      <c r="AJ30" s="62"/>
      <c r="AK30" s="128" t="s">
        <v>42</v>
      </c>
      <c r="AL30" s="62"/>
      <c r="AM30" s="129" t="s">
        <v>23</v>
      </c>
      <c r="AN30" s="348">
        <f>'Abnahme_GPON_1-16'!AN30:AP30</f>
        <v>1</v>
      </c>
      <c r="AO30" s="348"/>
      <c r="AP30" s="348"/>
      <c r="AQ30" s="62"/>
      <c r="AR30" s="82"/>
      <c r="AS30" s="122"/>
      <c r="AT30" s="62"/>
      <c r="AU30" s="123" t="s">
        <v>92</v>
      </c>
      <c r="AV30" s="123"/>
      <c r="AW30" s="123"/>
      <c r="AX30" s="62"/>
      <c r="AY30" s="375" t="str">
        <f>IF('Abnahme_GPON_1-16'!AY30:AZ30="x","x"," ")</f>
        <v>x</v>
      </c>
      <c r="AZ30" s="376"/>
      <c r="BA30" s="149"/>
      <c r="BB30" s="149"/>
      <c r="BC30" s="62"/>
      <c r="BD30" s="82"/>
      <c r="BE30" s="62"/>
      <c r="BF30" s="62"/>
      <c r="BG30" s="62"/>
      <c r="BH30" s="62"/>
      <c r="BI30" s="266" t="s">
        <v>92</v>
      </c>
      <c r="BJ30" s="266"/>
      <c r="BK30" s="266"/>
      <c r="BL30" s="62"/>
      <c r="BM30" s="62"/>
      <c r="BN30" s="375" t="str">
        <f>IF('Abnahme_GPON_1-16'!BN30:BO30="x","x"," ")</f>
        <v xml:space="preserve"> </v>
      </c>
      <c r="BO30" s="376"/>
      <c r="BP30" s="149"/>
      <c r="BQ30" s="67"/>
    </row>
    <row r="31" spans="2:78" s="31" customFormat="1" ht="4.5" customHeight="1" thickBot="1">
      <c r="B31" s="69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13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131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130"/>
      <c r="AS31" s="131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13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2"/>
    </row>
    <row r="32" spans="2:78" s="31" customFormat="1" ht="4.5" customHeight="1" thickBot="1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</row>
    <row r="33" spans="2:69" s="31" customFormat="1" ht="18.95" customHeight="1">
      <c r="B33" s="322" t="s">
        <v>94</v>
      </c>
      <c r="C33" s="323"/>
      <c r="D33" s="324"/>
      <c r="E33" s="322" t="s">
        <v>95</v>
      </c>
      <c r="F33" s="323"/>
      <c r="G33" s="324"/>
      <c r="H33" s="322" t="s">
        <v>96</v>
      </c>
      <c r="I33" s="323"/>
      <c r="J33" s="324"/>
      <c r="K33" s="328" t="s">
        <v>97</v>
      </c>
      <c r="L33" s="256"/>
      <c r="M33" s="256"/>
      <c r="N33" s="257"/>
      <c r="O33" s="306" t="s">
        <v>147</v>
      </c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8"/>
      <c r="AB33" s="345" t="s">
        <v>141</v>
      </c>
      <c r="AC33" s="342"/>
      <c r="AD33" s="342"/>
      <c r="AE33" s="342"/>
      <c r="AF33" s="342"/>
      <c r="AG33" s="342"/>
      <c r="AH33" s="343"/>
      <c r="AI33" s="256" t="s">
        <v>139</v>
      </c>
      <c r="AJ33" s="256"/>
      <c r="AK33" s="256"/>
      <c r="AL33" s="256"/>
      <c r="AM33" s="257"/>
      <c r="AN33" s="338" t="s">
        <v>132</v>
      </c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339"/>
      <c r="AZ33" s="339"/>
      <c r="BA33" s="339"/>
      <c r="BB33" s="339"/>
      <c r="BC33" s="339"/>
      <c r="BD33" s="339"/>
      <c r="BE33" s="339"/>
      <c r="BF33" s="339"/>
      <c r="BG33" s="339"/>
      <c r="BH33" s="339"/>
      <c r="BI33" s="339"/>
      <c r="BJ33" s="339"/>
      <c r="BK33" s="339"/>
      <c r="BL33" s="339"/>
      <c r="BM33" s="339"/>
      <c r="BN33" s="339"/>
      <c r="BO33" s="339"/>
      <c r="BP33" s="339"/>
      <c r="BQ33" s="340"/>
    </row>
    <row r="34" spans="2:69" s="31" customFormat="1" ht="18.95" customHeight="1">
      <c r="B34" s="325"/>
      <c r="C34" s="326"/>
      <c r="D34" s="327"/>
      <c r="E34" s="325"/>
      <c r="F34" s="326"/>
      <c r="G34" s="327"/>
      <c r="H34" s="325"/>
      <c r="I34" s="326"/>
      <c r="J34" s="327"/>
      <c r="K34" s="329"/>
      <c r="L34" s="258"/>
      <c r="M34" s="258"/>
      <c r="N34" s="259"/>
      <c r="O34" s="352" t="str">
        <f>'Abnahme_GPON_1-16'!O34:AA34</f>
        <v>18510 Wittenhagen</v>
      </c>
      <c r="P34" s="353"/>
      <c r="Q34" s="353"/>
      <c r="R34" s="353"/>
      <c r="S34" s="353"/>
      <c r="T34" s="353"/>
      <c r="U34" s="353"/>
      <c r="V34" s="353"/>
      <c r="W34" s="353"/>
      <c r="X34" s="353"/>
      <c r="Y34" s="353"/>
      <c r="Z34" s="353"/>
      <c r="AA34" s="354"/>
      <c r="AB34" s="346" t="s">
        <v>3</v>
      </c>
      <c r="AC34" s="251"/>
      <c r="AD34" s="312"/>
      <c r="AE34" s="250" t="s">
        <v>140</v>
      </c>
      <c r="AF34" s="251"/>
      <c r="AG34" s="251"/>
      <c r="AH34" s="252"/>
      <c r="AI34" s="258"/>
      <c r="AJ34" s="258"/>
      <c r="AK34" s="258"/>
      <c r="AL34" s="258"/>
      <c r="AM34" s="259"/>
      <c r="AN34" s="341" t="s">
        <v>1</v>
      </c>
      <c r="AO34" s="276"/>
      <c r="AP34" s="276"/>
      <c r="AQ34" s="276"/>
      <c r="AR34" s="276"/>
      <c r="AS34" s="276"/>
      <c r="AT34" s="276"/>
      <c r="AU34" s="276"/>
      <c r="AV34" s="276"/>
      <c r="AW34" s="277"/>
      <c r="AX34" s="275" t="s">
        <v>43</v>
      </c>
      <c r="AY34" s="276"/>
      <c r="AZ34" s="276"/>
      <c r="BA34" s="276"/>
      <c r="BB34" s="276"/>
      <c r="BC34" s="276"/>
      <c r="BD34" s="276"/>
      <c r="BE34" s="276"/>
      <c r="BF34" s="276"/>
      <c r="BG34" s="277"/>
      <c r="BH34" s="275" t="s">
        <v>21</v>
      </c>
      <c r="BI34" s="276"/>
      <c r="BJ34" s="276"/>
      <c r="BK34" s="276"/>
      <c r="BL34" s="276"/>
      <c r="BM34" s="276"/>
      <c r="BN34" s="276"/>
      <c r="BO34" s="276"/>
      <c r="BP34" s="276"/>
      <c r="BQ34" s="278"/>
    </row>
    <row r="35" spans="2:69" s="31" customFormat="1" ht="18.95" customHeight="1" thickBot="1">
      <c r="B35" s="325"/>
      <c r="C35" s="326"/>
      <c r="D35" s="327"/>
      <c r="E35" s="325"/>
      <c r="F35" s="326"/>
      <c r="G35" s="327"/>
      <c r="H35" s="325"/>
      <c r="I35" s="326"/>
      <c r="J35" s="327"/>
      <c r="K35" s="329"/>
      <c r="L35" s="258"/>
      <c r="M35" s="258"/>
      <c r="N35" s="259"/>
      <c r="O35" s="279" t="s">
        <v>61</v>
      </c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9"/>
      <c r="AB35" s="347"/>
      <c r="AC35" s="254"/>
      <c r="AD35" s="313"/>
      <c r="AE35" s="253"/>
      <c r="AF35" s="254"/>
      <c r="AG35" s="254"/>
      <c r="AH35" s="255"/>
      <c r="AI35" s="254"/>
      <c r="AJ35" s="254"/>
      <c r="AK35" s="254"/>
      <c r="AL35" s="254"/>
      <c r="AM35" s="255"/>
      <c r="AN35" s="279" t="s">
        <v>62</v>
      </c>
      <c r="AO35" s="268"/>
      <c r="AP35" s="268"/>
      <c r="AQ35" s="268"/>
      <c r="AR35" s="274"/>
      <c r="AS35" s="267" t="s">
        <v>63</v>
      </c>
      <c r="AT35" s="268"/>
      <c r="AU35" s="268"/>
      <c r="AV35" s="268"/>
      <c r="AW35" s="274"/>
      <c r="AX35" s="267" t="s">
        <v>62</v>
      </c>
      <c r="AY35" s="268"/>
      <c r="AZ35" s="268"/>
      <c r="BA35" s="268"/>
      <c r="BB35" s="274"/>
      <c r="BC35" s="267" t="s">
        <v>63</v>
      </c>
      <c r="BD35" s="268"/>
      <c r="BE35" s="268"/>
      <c r="BF35" s="268"/>
      <c r="BG35" s="274"/>
      <c r="BH35" s="267" t="s">
        <v>62</v>
      </c>
      <c r="BI35" s="268"/>
      <c r="BJ35" s="268"/>
      <c r="BK35" s="268"/>
      <c r="BL35" s="274"/>
      <c r="BM35" s="267" t="s">
        <v>63</v>
      </c>
      <c r="BN35" s="268"/>
      <c r="BO35" s="268"/>
      <c r="BP35" s="268"/>
      <c r="BQ35" s="269"/>
    </row>
    <row r="36" spans="2:69" s="31" customFormat="1" ht="21.95" customHeight="1" thickBot="1">
      <c r="B36" s="176" t="s">
        <v>98</v>
      </c>
      <c r="C36" s="177"/>
      <c r="D36" s="177"/>
      <c r="E36" s="318">
        <f>IF(AY29="x",5,IF(AY30="x",17,"-"))</f>
        <v>17</v>
      </c>
      <c r="F36" s="319"/>
      <c r="G36" s="320"/>
      <c r="H36" s="318" t="str">
        <f>IF(BN29="x",1,IF(BN30="x",17,"-"))</f>
        <v>-</v>
      </c>
      <c r="I36" s="319"/>
      <c r="J36" s="321"/>
      <c r="K36" s="204">
        <v>6851</v>
      </c>
      <c r="L36" s="205"/>
      <c r="M36" s="205"/>
      <c r="N36" s="206"/>
      <c r="O36" s="204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6"/>
      <c r="AB36" s="304"/>
      <c r="AC36" s="189"/>
      <c r="AD36" s="305"/>
      <c r="AE36" s="188"/>
      <c r="AF36" s="189"/>
      <c r="AG36" s="189"/>
      <c r="AH36" s="190"/>
      <c r="AI36" s="226">
        <f>AG24+AE25+AE36</f>
        <v>1049.5999999999999</v>
      </c>
      <c r="AJ36" s="226"/>
      <c r="AK36" s="226"/>
      <c r="AL36" s="226"/>
      <c r="AM36" s="227"/>
      <c r="AN36" s="218">
        <f>(K28+W30)*AI36/1000+(AN30*AN29)+IF(AI36&gt;0,1,0)+IF(AY29="x",10.5,0)+IF(BN29="x",7.1,0)+IF(AY30="x",17.1,0)+IF(BN30="x",17.1,0)</f>
        <v>18.937775999999999</v>
      </c>
      <c r="AO36" s="219"/>
      <c r="AP36" s="219"/>
      <c r="AQ36" s="219"/>
      <c r="AR36" s="220"/>
      <c r="AS36" s="221"/>
      <c r="AT36" s="222"/>
      <c r="AU36" s="222"/>
      <c r="AV36" s="222"/>
      <c r="AW36" s="223"/>
      <c r="AX36" s="224">
        <f t="shared" ref="AX36:AX51" si="0">AN36-(AI36*0.12/1000)</f>
        <v>18.811823999999998</v>
      </c>
      <c r="AY36" s="219"/>
      <c r="AZ36" s="219"/>
      <c r="BA36" s="219"/>
      <c r="BB36" s="220"/>
      <c r="BC36" s="221"/>
      <c r="BD36" s="222"/>
      <c r="BE36" s="222"/>
      <c r="BF36" s="222"/>
      <c r="BG36" s="223"/>
      <c r="BH36" s="224">
        <f t="shared" ref="BH36:BH51" si="1">AN36-(AI36*0.11/1000)</f>
        <v>18.822320000000001</v>
      </c>
      <c r="BI36" s="219"/>
      <c r="BJ36" s="219"/>
      <c r="BK36" s="219"/>
      <c r="BL36" s="220"/>
      <c r="BM36" s="221"/>
      <c r="BN36" s="222"/>
      <c r="BO36" s="222"/>
      <c r="BP36" s="222"/>
      <c r="BQ36" s="225"/>
    </row>
    <row r="37" spans="2:69" s="31" customFormat="1" ht="21.95" customHeight="1" thickBot="1">
      <c r="B37" s="178" t="s">
        <v>99</v>
      </c>
      <c r="C37" s="179"/>
      <c r="D37" s="180"/>
      <c r="E37" s="193">
        <f>IF(AY29="x",5,IF(AY30="x",18,"-"))</f>
        <v>18</v>
      </c>
      <c r="F37" s="194"/>
      <c r="G37" s="196"/>
      <c r="H37" s="193" t="str">
        <f>IF(BN29="x",2,IF(BN30="x",18,"-"))</f>
        <v>-</v>
      </c>
      <c r="I37" s="194"/>
      <c r="J37" s="195"/>
      <c r="K37" s="204">
        <v>6852</v>
      </c>
      <c r="L37" s="205"/>
      <c r="M37" s="205"/>
      <c r="N37" s="206"/>
      <c r="O37" s="204" t="s">
        <v>170</v>
      </c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6"/>
      <c r="AB37" s="183">
        <v>1</v>
      </c>
      <c r="AC37" s="184"/>
      <c r="AD37" s="185"/>
      <c r="AE37" s="358"/>
      <c r="AF37" s="359"/>
      <c r="AG37" s="359"/>
      <c r="AH37" s="360"/>
      <c r="AI37" s="181">
        <f>AG24+AE25+AE37</f>
        <v>1049.5999999999999</v>
      </c>
      <c r="AJ37" s="181"/>
      <c r="AK37" s="181"/>
      <c r="AL37" s="181"/>
      <c r="AM37" s="182"/>
      <c r="AN37" s="200">
        <f>(K28+W30)*AI37/1000+(AN29*AN30)+IF(AI37&gt;0,1,0)+IF(AY29="x",10.5,0)+IF(BN29="x",7.1,0)+IF(AY30="x",17.1,0)+IF(BN30="x",17.1,0)</f>
        <v>18.937775999999999</v>
      </c>
      <c r="AO37" s="201"/>
      <c r="AP37" s="201"/>
      <c r="AQ37" s="201"/>
      <c r="AR37" s="202"/>
      <c r="AS37" s="197">
        <v>16.91</v>
      </c>
      <c r="AT37" s="198"/>
      <c r="AU37" s="198"/>
      <c r="AV37" s="198"/>
      <c r="AW37" s="199"/>
      <c r="AX37" s="203">
        <f t="shared" si="0"/>
        <v>18.811823999999998</v>
      </c>
      <c r="AY37" s="201"/>
      <c r="AZ37" s="201"/>
      <c r="BA37" s="201"/>
      <c r="BB37" s="202"/>
      <c r="BC37" s="197">
        <v>16.37</v>
      </c>
      <c r="BD37" s="198"/>
      <c r="BE37" s="198"/>
      <c r="BF37" s="198"/>
      <c r="BG37" s="199"/>
      <c r="BH37" s="203">
        <f t="shared" si="1"/>
        <v>18.822320000000001</v>
      </c>
      <c r="BI37" s="201"/>
      <c r="BJ37" s="201"/>
      <c r="BK37" s="201"/>
      <c r="BL37" s="202"/>
      <c r="BM37" s="197"/>
      <c r="BN37" s="198"/>
      <c r="BO37" s="198"/>
      <c r="BP37" s="198"/>
      <c r="BQ37" s="214"/>
    </row>
    <row r="38" spans="2:69" s="31" customFormat="1" ht="21.95" customHeight="1" thickBot="1">
      <c r="B38" s="178" t="s">
        <v>100</v>
      </c>
      <c r="C38" s="179"/>
      <c r="D38" s="180"/>
      <c r="E38" s="193">
        <f>IF(AY29="x",5,IF(AY30="x",19,"-"))</f>
        <v>19</v>
      </c>
      <c r="F38" s="194"/>
      <c r="G38" s="196"/>
      <c r="H38" s="193" t="str">
        <f>IF(BN29="x",3,IF(BN30="x",19,"-"))</f>
        <v>-</v>
      </c>
      <c r="I38" s="194"/>
      <c r="J38" s="195"/>
      <c r="K38" s="204">
        <v>6853</v>
      </c>
      <c r="L38" s="205"/>
      <c r="M38" s="205"/>
      <c r="N38" s="206"/>
      <c r="O38" s="204" t="s">
        <v>171</v>
      </c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6"/>
      <c r="AB38" s="183">
        <v>1</v>
      </c>
      <c r="AC38" s="184"/>
      <c r="AD38" s="185"/>
      <c r="AE38" s="358"/>
      <c r="AF38" s="359"/>
      <c r="AG38" s="359"/>
      <c r="AH38" s="360"/>
      <c r="AI38" s="181">
        <f>AG24+AE25+AE38</f>
        <v>1049.5999999999999</v>
      </c>
      <c r="AJ38" s="181"/>
      <c r="AK38" s="181"/>
      <c r="AL38" s="181"/>
      <c r="AM38" s="182"/>
      <c r="AN38" s="200">
        <f>(K28+W30)*AI38/1000+(AN29*AN30)+IF(AI38&gt;0,1,0)+IF(AY29="x",10.5,0)+IF(BN29="x",7.1,0)+IF(AY30="x",17.1,0)+IF(BN30="x",17.1,0)</f>
        <v>18.937775999999999</v>
      </c>
      <c r="AO38" s="201"/>
      <c r="AP38" s="201"/>
      <c r="AQ38" s="201"/>
      <c r="AR38" s="202"/>
      <c r="AS38" s="197">
        <v>17.46</v>
      </c>
      <c r="AT38" s="198"/>
      <c r="AU38" s="198"/>
      <c r="AV38" s="198"/>
      <c r="AW38" s="199"/>
      <c r="AX38" s="203">
        <f t="shared" si="0"/>
        <v>18.811823999999998</v>
      </c>
      <c r="AY38" s="201"/>
      <c r="AZ38" s="201"/>
      <c r="BA38" s="201"/>
      <c r="BB38" s="202"/>
      <c r="BC38" s="197">
        <v>16.760000000000002</v>
      </c>
      <c r="BD38" s="198"/>
      <c r="BE38" s="198"/>
      <c r="BF38" s="198"/>
      <c r="BG38" s="199"/>
      <c r="BH38" s="203">
        <f t="shared" si="1"/>
        <v>18.822320000000001</v>
      </c>
      <c r="BI38" s="201"/>
      <c r="BJ38" s="201"/>
      <c r="BK38" s="201"/>
      <c r="BL38" s="202"/>
      <c r="BM38" s="197"/>
      <c r="BN38" s="198"/>
      <c r="BO38" s="198"/>
      <c r="BP38" s="198"/>
      <c r="BQ38" s="214"/>
    </row>
    <row r="39" spans="2:69" s="31" customFormat="1" ht="21.95" customHeight="1" thickBot="1">
      <c r="B39" s="178" t="s">
        <v>101</v>
      </c>
      <c r="C39" s="179"/>
      <c r="D39" s="180"/>
      <c r="E39" s="193">
        <f>IF(AY29="x",5,IF(AY30="x",20,"-"))</f>
        <v>20</v>
      </c>
      <c r="F39" s="194"/>
      <c r="G39" s="196"/>
      <c r="H39" s="193" t="str">
        <f>IF(BN29="x",4,IF(BN30="x",20,"-"))</f>
        <v>-</v>
      </c>
      <c r="I39" s="194"/>
      <c r="J39" s="195"/>
      <c r="K39" s="204">
        <v>6854</v>
      </c>
      <c r="L39" s="205"/>
      <c r="M39" s="205"/>
      <c r="N39" s="206"/>
      <c r="O39" s="204" t="s">
        <v>172</v>
      </c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6"/>
      <c r="AB39" s="183">
        <v>1</v>
      </c>
      <c r="AC39" s="184"/>
      <c r="AD39" s="185"/>
      <c r="AE39" s="358"/>
      <c r="AF39" s="359"/>
      <c r="AG39" s="359"/>
      <c r="AH39" s="360"/>
      <c r="AI39" s="181">
        <f>AG24+AE25+AE39</f>
        <v>1049.5999999999999</v>
      </c>
      <c r="AJ39" s="181"/>
      <c r="AK39" s="181"/>
      <c r="AL39" s="181"/>
      <c r="AM39" s="182"/>
      <c r="AN39" s="200">
        <f>(K28+W30)*AI39/1000+(AN29*AN30)+IF(AI39&gt;0,1,0)+IF(AY29="x",10.5,0)+IF(BN29="x",7.1,0)+IF(AY30="x",17.1,0)+IF(BN30="x",17.1,0)</f>
        <v>18.937775999999999</v>
      </c>
      <c r="AO39" s="201"/>
      <c r="AP39" s="201"/>
      <c r="AQ39" s="201"/>
      <c r="AR39" s="202"/>
      <c r="AS39" s="197"/>
      <c r="AT39" s="198"/>
      <c r="AU39" s="198"/>
      <c r="AV39" s="198"/>
      <c r="AW39" s="199"/>
      <c r="AX39" s="203">
        <f t="shared" si="0"/>
        <v>18.811823999999998</v>
      </c>
      <c r="AY39" s="201"/>
      <c r="AZ39" s="201"/>
      <c r="BA39" s="201"/>
      <c r="BB39" s="202"/>
      <c r="BC39" s="197"/>
      <c r="BD39" s="198"/>
      <c r="BE39" s="198"/>
      <c r="BF39" s="198"/>
      <c r="BG39" s="199"/>
      <c r="BH39" s="203">
        <f t="shared" si="1"/>
        <v>18.822320000000001</v>
      </c>
      <c r="BI39" s="201"/>
      <c r="BJ39" s="201"/>
      <c r="BK39" s="201"/>
      <c r="BL39" s="202"/>
      <c r="BM39" s="197"/>
      <c r="BN39" s="198"/>
      <c r="BO39" s="198"/>
      <c r="BP39" s="198"/>
      <c r="BQ39" s="214"/>
    </row>
    <row r="40" spans="2:69" s="31" customFormat="1" ht="21.95" customHeight="1" thickBot="1">
      <c r="B40" s="178" t="s">
        <v>102</v>
      </c>
      <c r="C40" s="179"/>
      <c r="D40" s="180"/>
      <c r="E40" s="193">
        <f>IF(AY29="x",6,IF(AY30="x",21,"-"))</f>
        <v>21</v>
      </c>
      <c r="F40" s="194"/>
      <c r="G40" s="196"/>
      <c r="H40" s="193" t="str">
        <f>IF(BN29="x",1,IF(BN30="x",21,"-"))</f>
        <v>-</v>
      </c>
      <c r="I40" s="194"/>
      <c r="J40" s="195"/>
      <c r="K40" s="204">
        <v>6854</v>
      </c>
      <c r="L40" s="205"/>
      <c r="M40" s="205"/>
      <c r="N40" s="206"/>
      <c r="O40" s="204" t="s">
        <v>172</v>
      </c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6"/>
      <c r="AB40" s="183">
        <v>2</v>
      </c>
      <c r="AC40" s="184"/>
      <c r="AD40" s="185"/>
      <c r="AE40" s="358"/>
      <c r="AF40" s="359"/>
      <c r="AG40" s="359"/>
      <c r="AH40" s="360"/>
      <c r="AI40" s="181">
        <f>AG24+AE25+AE40</f>
        <v>1049.5999999999999</v>
      </c>
      <c r="AJ40" s="181"/>
      <c r="AK40" s="181"/>
      <c r="AL40" s="181"/>
      <c r="AM40" s="182"/>
      <c r="AN40" s="200">
        <f>(K28+W30)*AI40/1000+(AN29*AN30)+IF(AI40&gt;0,1,0)+IF(AY29="x",10.5,0)+IF(BN29="x",7.1,0)+IF(AY30="x",17.1,0)+IF(BN30="x",17.1,0)</f>
        <v>18.937775999999999</v>
      </c>
      <c r="AO40" s="201"/>
      <c r="AP40" s="201"/>
      <c r="AQ40" s="201"/>
      <c r="AR40" s="202"/>
      <c r="AS40" s="197"/>
      <c r="AT40" s="198"/>
      <c r="AU40" s="198"/>
      <c r="AV40" s="198"/>
      <c r="AW40" s="199"/>
      <c r="AX40" s="203">
        <f t="shared" si="0"/>
        <v>18.811823999999998</v>
      </c>
      <c r="AY40" s="201"/>
      <c r="AZ40" s="201"/>
      <c r="BA40" s="201"/>
      <c r="BB40" s="202"/>
      <c r="BC40" s="197"/>
      <c r="BD40" s="198"/>
      <c r="BE40" s="198"/>
      <c r="BF40" s="198"/>
      <c r="BG40" s="199"/>
      <c r="BH40" s="203">
        <f t="shared" si="1"/>
        <v>18.822320000000001</v>
      </c>
      <c r="BI40" s="201"/>
      <c r="BJ40" s="201"/>
      <c r="BK40" s="201"/>
      <c r="BL40" s="202"/>
      <c r="BM40" s="197"/>
      <c r="BN40" s="198"/>
      <c r="BO40" s="198"/>
      <c r="BP40" s="198"/>
      <c r="BQ40" s="214"/>
    </row>
    <row r="41" spans="2:69" s="31" customFormat="1" ht="21.95" customHeight="1" thickBot="1">
      <c r="B41" s="178" t="s">
        <v>103</v>
      </c>
      <c r="C41" s="179"/>
      <c r="D41" s="180"/>
      <c r="E41" s="193">
        <f>IF(AY29="x",6,IF(AY30="x",22,"-"))</f>
        <v>22</v>
      </c>
      <c r="F41" s="194"/>
      <c r="G41" s="196"/>
      <c r="H41" s="193" t="str">
        <f>IF(BN29="x",2,IF(BN30="x",22,"-"))</f>
        <v>-</v>
      </c>
      <c r="I41" s="194"/>
      <c r="J41" s="195"/>
      <c r="K41" s="204">
        <v>6855</v>
      </c>
      <c r="L41" s="205"/>
      <c r="M41" s="205"/>
      <c r="N41" s="206"/>
      <c r="O41" s="204" t="s">
        <v>173</v>
      </c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6"/>
      <c r="AB41" s="183">
        <v>1</v>
      </c>
      <c r="AC41" s="184"/>
      <c r="AD41" s="185"/>
      <c r="AE41" s="358"/>
      <c r="AF41" s="359"/>
      <c r="AG41" s="359"/>
      <c r="AH41" s="360"/>
      <c r="AI41" s="181">
        <f>AG24+AE25+AE41</f>
        <v>1049.5999999999999</v>
      </c>
      <c r="AJ41" s="181"/>
      <c r="AK41" s="181"/>
      <c r="AL41" s="181"/>
      <c r="AM41" s="182"/>
      <c r="AN41" s="200">
        <f>(K28+W30)*AI41/1000+(AN29*AN30)+IF(AI41&gt;0,1,0)+IF(AY29="x",10.5,0)+IF(BN29="x",7.1,0)+IF(AY30="x",17.1,0)+IF(BN30="x",17.1,0)</f>
        <v>18.937775999999999</v>
      </c>
      <c r="AO41" s="201"/>
      <c r="AP41" s="201"/>
      <c r="AQ41" s="201"/>
      <c r="AR41" s="202"/>
      <c r="AS41" s="197">
        <v>16.68</v>
      </c>
      <c r="AT41" s="198"/>
      <c r="AU41" s="198"/>
      <c r="AV41" s="198"/>
      <c r="AW41" s="199"/>
      <c r="AX41" s="203">
        <f t="shared" si="0"/>
        <v>18.811823999999998</v>
      </c>
      <c r="AY41" s="201"/>
      <c r="AZ41" s="201"/>
      <c r="BA41" s="201"/>
      <c r="BB41" s="202"/>
      <c r="BC41" s="197">
        <v>16.399999999999999</v>
      </c>
      <c r="BD41" s="198"/>
      <c r="BE41" s="198"/>
      <c r="BF41" s="198"/>
      <c r="BG41" s="199"/>
      <c r="BH41" s="203">
        <f t="shared" si="1"/>
        <v>18.822320000000001</v>
      </c>
      <c r="BI41" s="201"/>
      <c r="BJ41" s="201"/>
      <c r="BK41" s="201"/>
      <c r="BL41" s="202"/>
      <c r="BM41" s="197"/>
      <c r="BN41" s="198"/>
      <c r="BO41" s="198"/>
      <c r="BP41" s="198"/>
      <c r="BQ41" s="214"/>
    </row>
    <row r="42" spans="2:69" s="31" customFormat="1" ht="21.95" customHeight="1" thickBot="1">
      <c r="B42" s="178" t="s">
        <v>104</v>
      </c>
      <c r="C42" s="179"/>
      <c r="D42" s="180"/>
      <c r="E42" s="193">
        <f>IF(AY29="x",6,IF(AY30="x",23,"-"))</f>
        <v>23</v>
      </c>
      <c r="F42" s="194"/>
      <c r="G42" s="196"/>
      <c r="H42" s="193" t="str">
        <f>IF(BN29="x",3,IF(BN30="x",23,"-"))</f>
        <v>-</v>
      </c>
      <c r="I42" s="194"/>
      <c r="J42" s="195"/>
      <c r="K42" s="204">
        <v>6856</v>
      </c>
      <c r="L42" s="205"/>
      <c r="M42" s="205"/>
      <c r="N42" s="206"/>
      <c r="O42" s="204" t="s">
        <v>174</v>
      </c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6"/>
      <c r="AB42" s="183">
        <v>1</v>
      </c>
      <c r="AC42" s="184"/>
      <c r="AD42" s="185"/>
      <c r="AE42" s="358"/>
      <c r="AF42" s="359"/>
      <c r="AG42" s="359"/>
      <c r="AH42" s="360"/>
      <c r="AI42" s="181">
        <f>AG24+AE25+AE42</f>
        <v>1049.5999999999999</v>
      </c>
      <c r="AJ42" s="181"/>
      <c r="AK42" s="181"/>
      <c r="AL42" s="181"/>
      <c r="AM42" s="182"/>
      <c r="AN42" s="200">
        <f>(K28+W30)*AI42/1000+(AN29*AN30)+IF(AI42&gt;0,1,0)+IF(AY29="x",10.5,0)+IF(BN29="x",7.1,0)+IF(AY30="x",17.1,0)+IF(BN30="x",17.1,0)</f>
        <v>18.937775999999999</v>
      </c>
      <c r="AO42" s="201"/>
      <c r="AP42" s="201"/>
      <c r="AQ42" s="201"/>
      <c r="AR42" s="202"/>
      <c r="AS42" s="197">
        <v>17.27</v>
      </c>
      <c r="AT42" s="198"/>
      <c r="AU42" s="198"/>
      <c r="AV42" s="198"/>
      <c r="AW42" s="199"/>
      <c r="AX42" s="203">
        <f t="shared" si="0"/>
        <v>18.811823999999998</v>
      </c>
      <c r="AY42" s="201"/>
      <c r="AZ42" s="201"/>
      <c r="BA42" s="201"/>
      <c r="BB42" s="202"/>
      <c r="BC42" s="197">
        <v>16.57</v>
      </c>
      <c r="BD42" s="198"/>
      <c r="BE42" s="198"/>
      <c r="BF42" s="198"/>
      <c r="BG42" s="199"/>
      <c r="BH42" s="203">
        <f t="shared" si="1"/>
        <v>18.822320000000001</v>
      </c>
      <c r="BI42" s="201"/>
      <c r="BJ42" s="201"/>
      <c r="BK42" s="201"/>
      <c r="BL42" s="202"/>
      <c r="BM42" s="197"/>
      <c r="BN42" s="198"/>
      <c r="BO42" s="198"/>
      <c r="BP42" s="198"/>
      <c r="BQ42" s="214"/>
    </row>
    <row r="43" spans="2:69" s="31" customFormat="1" ht="21.95" customHeight="1" thickBot="1">
      <c r="B43" s="178" t="s">
        <v>105</v>
      </c>
      <c r="C43" s="179"/>
      <c r="D43" s="180"/>
      <c r="E43" s="193">
        <f>IF(AY29="x",6,IF(AY30="x",24,"-"))</f>
        <v>24</v>
      </c>
      <c r="F43" s="194"/>
      <c r="G43" s="196"/>
      <c r="H43" s="193" t="str">
        <f>IF(BN29="x",4,IF(BN30="x",24,"-"))</f>
        <v>-</v>
      </c>
      <c r="I43" s="194"/>
      <c r="J43" s="195"/>
      <c r="K43" s="204">
        <v>6857</v>
      </c>
      <c r="L43" s="205"/>
      <c r="M43" s="205"/>
      <c r="N43" s="206"/>
      <c r="O43" s="204" t="s">
        <v>175</v>
      </c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6"/>
      <c r="AB43" s="183">
        <v>1</v>
      </c>
      <c r="AC43" s="184"/>
      <c r="AD43" s="185"/>
      <c r="AE43" s="358"/>
      <c r="AF43" s="359"/>
      <c r="AG43" s="359"/>
      <c r="AH43" s="360"/>
      <c r="AI43" s="181">
        <f>AG24+AE25+AE43</f>
        <v>1049.5999999999999</v>
      </c>
      <c r="AJ43" s="181"/>
      <c r="AK43" s="181"/>
      <c r="AL43" s="181"/>
      <c r="AM43" s="182"/>
      <c r="AN43" s="200">
        <f>(K28+W30)*AI43/1000+(AN29*AN30)+IF(AI43&gt;0,1,0)+IF(AY29="x",10.5,0)+IF(BN29="x",7.1,0)+IF(AY30="x",17.1,0)+IF(BN30="x",17.1,0)</f>
        <v>18.937775999999999</v>
      </c>
      <c r="AO43" s="201"/>
      <c r="AP43" s="201"/>
      <c r="AQ43" s="201"/>
      <c r="AR43" s="202"/>
      <c r="AS43" s="197">
        <v>16.91</v>
      </c>
      <c r="AT43" s="198"/>
      <c r="AU43" s="198"/>
      <c r="AV43" s="198"/>
      <c r="AW43" s="199"/>
      <c r="AX43" s="203">
        <f t="shared" si="0"/>
        <v>18.811823999999998</v>
      </c>
      <c r="AY43" s="201"/>
      <c r="AZ43" s="201"/>
      <c r="BA43" s="201"/>
      <c r="BB43" s="202"/>
      <c r="BC43" s="197">
        <v>16.38</v>
      </c>
      <c r="BD43" s="198"/>
      <c r="BE43" s="198"/>
      <c r="BF43" s="198"/>
      <c r="BG43" s="199"/>
      <c r="BH43" s="203">
        <f t="shared" si="1"/>
        <v>18.822320000000001</v>
      </c>
      <c r="BI43" s="201"/>
      <c r="BJ43" s="201"/>
      <c r="BK43" s="201"/>
      <c r="BL43" s="202"/>
      <c r="BM43" s="197"/>
      <c r="BN43" s="198"/>
      <c r="BO43" s="198"/>
      <c r="BP43" s="198"/>
      <c r="BQ43" s="214"/>
    </row>
    <row r="44" spans="2:69" s="31" customFormat="1" ht="21.95" customHeight="1" thickBot="1">
      <c r="B44" s="178" t="s">
        <v>106</v>
      </c>
      <c r="C44" s="179"/>
      <c r="D44" s="180"/>
      <c r="E44" s="193">
        <f>IF(AY29="x",7,IF(AY30="x",25,"-"))</f>
        <v>25</v>
      </c>
      <c r="F44" s="194"/>
      <c r="G44" s="196"/>
      <c r="H44" s="193" t="str">
        <f>IF(BN29="x",1,IF(BN30="x",25,"-"))</f>
        <v>-</v>
      </c>
      <c r="I44" s="194"/>
      <c r="J44" s="195"/>
      <c r="K44" s="204">
        <v>6857</v>
      </c>
      <c r="L44" s="205"/>
      <c r="M44" s="205"/>
      <c r="N44" s="206"/>
      <c r="O44" s="204" t="s">
        <v>175</v>
      </c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6"/>
      <c r="AB44" s="183">
        <v>2</v>
      </c>
      <c r="AC44" s="184"/>
      <c r="AD44" s="185"/>
      <c r="AE44" s="358"/>
      <c r="AF44" s="359"/>
      <c r="AG44" s="359"/>
      <c r="AH44" s="360"/>
      <c r="AI44" s="181">
        <f>AG24+AE25+AE44</f>
        <v>1049.5999999999999</v>
      </c>
      <c r="AJ44" s="181"/>
      <c r="AK44" s="181"/>
      <c r="AL44" s="181"/>
      <c r="AM44" s="182"/>
      <c r="AN44" s="200">
        <f>(K28+W30)*AI44/1000+(AN29*AN30)+IF(AI44&gt;0,1,0)+IF(AY29="x",10.5,0)+IF(BN29="x",7.1,0)+IF(AY30="x",17.1,0)+IF(BN30="x",17.1,0)</f>
        <v>18.937775999999999</v>
      </c>
      <c r="AO44" s="201"/>
      <c r="AP44" s="201"/>
      <c r="AQ44" s="201"/>
      <c r="AR44" s="202"/>
      <c r="AS44" s="197"/>
      <c r="AT44" s="198"/>
      <c r="AU44" s="198"/>
      <c r="AV44" s="198"/>
      <c r="AW44" s="199"/>
      <c r="AX44" s="203">
        <f t="shared" si="0"/>
        <v>18.811823999999998</v>
      </c>
      <c r="AY44" s="201"/>
      <c r="AZ44" s="201"/>
      <c r="BA44" s="201"/>
      <c r="BB44" s="202"/>
      <c r="BC44" s="197"/>
      <c r="BD44" s="198"/>
      <c r="BE44" s="198"/>
      <c r="BF44" s="198"/>
      <c r="BG44" s="199"/>
      <c r="BH44" s="203">
        <f t="shared" si="1"/>
        <v>18.822320000000001</v>
      </c>
      <c r="BI44" s="201"/>
      <c r="BJ44" s="201"/>
      <c r="BK44" s="201"/>
      <c r="BL44" s="202"/>
      <c r="BM44" s="197"/>
      <c r="BN44" s="198"/>
      <c r="BO44" s="198"/>
      <c r="BP44" s="198"/>
      <c r="BQ44" s="214"/>
    </row>
    <row r="45" spans="2:69" s="31" customFormat="1" ht="21.95" customHeight="1" thickBot="1">
      <c r="B45" s="178" t="s">
        <v>107</v>
      </c>
      <c r="C45" s="179"/>
      <c r="D45" s="180"/>
      <c r="E45" s="193">
        <f>IF(AY29="x",7,IF(AY30="x",26,"-"))</f>
        <v>26</v>
      </c>
      <c r="F45" s="194"/>
      <c r="G45" s="196"/>
      <c r="H45" s="193" t="str">
        <f>IF(BN29="x",2,IF(BN30="x",26,"-"))</f>
        <v>-</v>
      </c>
      <c r="I45" s="194"/>
      <c r="J45" s="195"/>
      <c r="K45" s="204">
        <v>6857</v>
      </c>
      <c r="L45" s="205"/>
      <c r="M45" s="205"/>
      <c r="N45" s="206"/>
      <c r="O45" s="204" t="s">
        <v>175</v>
      </c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6"/>
      <c r="AB45" s="183">
        <v>3</v>
      </c>
      <c r="AC45" s="184"/>
      <c r="AD45" s="185"/>
      <c r="AE45" s="358"/>
      <c r="AF45" s="359"/>
      <c r="AG45" s="359"/>
      <c r="AH45" s="360"/>
      <c r="AI45" s="181">
        <f>AG24+AE25+AE45</f>
        <v>1049.5999999999999</v>
      </c>
      <c r="AJ45" s="181"/>
      <c r="AK45" s="181"/>
      <c r="AL45" s="181"/>
      <c r="AM45" s="182"/>
      <c r="AN45" s="200">
        <f>(K28+W30)*AI45/1000+(AN29*AN30)+IF(AI45&gt;0,1,0)+IF(AY29="x",10.5,0)+IF(BN29="x",7.1,0)+IF(AY30="x",17.1,0)+IF(BN30="x",17.1,0)</f>
        <v>18.937775999999999</v>
      </c>
      <c r="AO45" s="201"/>
      <c r="AP45" s="201"/>
      <c r="AQ45" s="201"/>
      <c r="AR45" s="202"/>
      <c r="AS45" s="197"/>
      <c r="AT45" s="198"/>
      <c r="AU45" s="198"/>
      <c r="AV45" s="198"/>
      <c r="AW45" s="199"/>
      <c r="AX45" s="203">
        <f t="shared" si="0"/>
        <v>18.811823999999998</v>
      </c>
      <c r="AY45" s="201"/>
      <c r="AZ45" s="201"/>
      <c r="BA45" s="201"/>
      <c r="BB45" s="202"/>
      <c r="BC45" s="197"/>
      <c r="BD45" s="198"/>
      <c r="BE45" s="198"/>
      <c r="BF45" s="198"/>
      <c r="BG45" s="199"/>
      <c r="BH45" s="203">
        <f t="shared" si="1"/>
        <v>18.822320000000001</v>
      </c>
      <c r="BI45" s="201"/>
      <c r="BJ45" s="201"/>
      <c r="BK45" s="201"/>
      <c r="BL45" s="202"/>
      <c r="BM45" s="197"/>
      <c r="BN45" s="198"/>
      <c r="BO45" s="198"/>
      <c r="BP45" s="198"/>
      <c r="BQ45" s="214"/>
    </row>
    <row r="46" spans="2:69" s="31" customFormat="1" ht="21.95" customHeight="1" thickBot="1">
      <c r="B46" s="178" t="s">
        <v>108</v>
      </c>
      <c r="C46" s="179"/>
      <c r="D46" s="180"/>
      <c r="E46" s="193">
        <f>IF(AY29="x",7,IF(AY30="x",27,"-"))</f>
        <v>27</v>
      </c>
      <c r="F46" s="194"/>
      <c r="G46" s="196"/>
      <c r="H46" s="193" t="str">
        <f>IF(BN29="x",3,IF(BN30="x",27,"-"))</f>
        <v>-</v>
      </c>
      <c r="I46" s="194"/>
      <c r="J46" s="195"/>
      <c r="K46" s="204">
        <v>6858</v>
      </c>
      <c r="L46" s="205"/>
      <c r="M46" s="205"/>
      <c r="N46" s="206"/>
      <c r="O46" s="204" t="s">
        <v>176</v>
      </c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6"/>
      <c r="AB46" s="183">
        <v>1</v>
      </c>
      <c r="AC46" s="184"/>
      <c r="AD46" s="185"/>
      <c r="AE46" s="358"/>
      <c r="AF46" s="359"/>
      <c r="AG46" s="359"/>
      <c r="AH46" s="360"/>
      <c r="AI46" s="181">
        <f>AG24+AE25+AE46</f>
        <v>1049.5999999999999</v>
      </c>
      <c r="AJ46" s="181"/>
      <c r="AK46" s="181"/>
      <c r="AL46" s="181"/>
      <c r="AM46" s="182"/>
      <c r="AN46" s="200">
        <f>(K28+W30)*AI46/1000+(AN29*AN30)+IF(AI46&gt;0,1,0)+IF(AY29="x",10.5,0)+IF(BN29="x",7.1,0)+IF(AY30="x",17.1,0)+IF(BN30="x",17.1,0)</f>
        <v>18.937775999999999</v>
      </c>
      <c r="AO46" s="201"/>
      <c r="AP46" s="201"/>
      <c r="AQ46" s="201"/>
      <c r="AR46" s="202"/>
      <c r="AS46" s="197">
        <v>16.77</v>
      </c>
      <c r="AT46" s="198"/>
      <c r="AU46" s="198"/>
      <c r="AV46" s="198"/>
      <c r="AW46" s="199"/>
      <c r="AX46" s="203">
        <f t="shared" si="0"/>
        <v>18.811823999999998</v>
      </c>
      <c r="AY46" s="201"/>
      <c r="AZ46" s="201"/>
      <c r="BA46" s="201"/>
      <c r="BB46" s="202"/>
      <c r="BC46" s="197">
        <v>16.34</v>
      </c>
      <c r="BD46" s="198"/>
      <c r="BE46" s="198"/>
      <c r="BF46" s="198"/>
      <c r="BG46" s="199"/>
      <c r="BH46" s="203">
        <f t="shared" si="1"/>
        <v>18.822320000000001</v>
      </c>
      <c r="BI46" s="201"/>
      <c r="BJ46" s="201"/>
      <c r="BK46" s="201"/>
      <c r="BL46" s="202"/>
      <c r="BM46" s="197"/>
      <c r="BN46" s="198"/>
      <c r="BO46" s="198"/>
      <c r="BP46" s="198"/>
      <c r="BQ46" s="214"/>
    </row>
    <row r="47" spans="2:69" s="31" customFormat="1" ht="21.95" customHeight="1" thickBot="1">
      <c r="B47" s="178" t="s">
        <v>109</v>
      </c>
      <c r="C47" s="179"/>
      <c r="D47" s="180"/>
      <c r="E47" s="193">
        <f>IF(AY29="x",7,IF(AY30="x",28,"-"))</f>
        <v>28</v>
      </c>
      <c r="F47" s="194"/>
      <c r="G47" s="196"/>
      <c r="H47" s="193" t="str">
        <f>IF(BN29="x",4,IF(BN30="x",28,"-"))</f>
        <v>-</v>
      </c>
      <c r="I47" s="194"/>
      <c r="J47" s="195"/>
      <c r="K47" s="204">
        <v>6859</v>
      </c>
      <c r="L47" s="205"/>
      <c r="M47" s="205"/>
      <c r="N47" s="206"/>
      <c r="O47" s="204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6"/>
      <c r="AB47" s="183"/>
      <c r="AC47" s="184"/>
      <c r="AD47" s="185"/>
      <c r="AE47" s="358"/>
      <c r="AF47" s="359"/>
      <c r="AG47" s="359"/>
      <c r="AH47" s="360"/>
      <c r="AI47" s="181">
        <f>AG24+AE25+AE47</f>
        <v>1049.5999999999999</v>
      </c>
      <c r="AJ47" s="181"/>
      <c r="AK47" s="181"/>
      <c r="AL47" s="181"/>
      <c r="AM47" s="182"/>
      <c r="AN47" s="200">
        <f>(K28+W30)*AI47/1000+(AN29*AN30)+IF(AI47&gt;0,1,0)+IF(AY29="x",10.5,0)+IF(BN29="x",7.1,0)+IF(AY30="x",17.1,0)+IF(BN30="x",17.1,0)</f>
        <v>18.937775999999999</v>
      </c>
      <c r="AO47" s="201"/>
      <c r="AP47" s="201"/>
      <c r="AQ47" s="201"/>
      <c r="AR47" s="202"/>
      <c r="AS47" s="197"/>
      <c r="AT47" s="198"/>
      <c r="AU47" s="198"/>
      <c r="AV47" s="198"/>
      <c r="AW47" s="199"/>
      <c r="AX47" s="203">
        <f t="shared" si="0"/>
        <v>18.811823999999998</v>
      </c>
      <c r="AY47" s="201"/>
      <c r="AZ47" s="201"/>
      <c r="BA47" s="201"/>
      <c r="BB47" s="202"/>
      <c r="BC47" s="197"/>
      <c r="BD47" s="198"/>
      <c r="BE47" s="198"/>
      <c r="BF47" s="198"/>
      <c r="BG47" s="199"/>
      <c r="BH47" s="203">
        <f t="shared" si="1"/>
        <v>18.822320000000001</v>
      </c>
      <c r="BI47" s="201"/>
      <c r="BJ47" s="201"/>
      <c r="BK47" s="201"/>
      <c r="BL47" s="202"/>
      <c r="BM47" s="197"/>
      <c r="BN47" s="198"/>
      <c r="BO47" s="198"/>
      <c r="BP47" s="198"/>
      <c r="BQ47" s="214"/>
    </row>
    <row r="48" spans="2:69" s="31" customFormat="1" ht="21.95" customHeight="1" thickBot="1">
      <c r="B48" s="178" t="s">
        <v>110</v>
      </c>
      <c r="C48" s="179"/>
      <c r="D48" s="180"/>
      <c r="E48" s="193">
        <f>IF(AY29="x",8,IF(AY30="x",29,"-"))</f>
        <v>29</v>
      </c>
      <c r="F48" s="194"/>
      <c r="G48" s="196"/>
      <c r="H48" s="193" t="str">
        <f>IF(BN29="x",1,IF(BN30="x",29,"-"))</f>
        <v>-</v>
      </c>
      <c r="I48" s="194"/>
      <c r="J48" s="195"/>
      <c r="K48" s="204">
        <v>6860</v>
      </c>
      <c r="L48" s="205"/>
      <c r="M48" s="205"/>
      <c r="N48" s="206"/>
      <c r="O48" s="204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6"/>
      <c r="AB48" s="183"/>
      <c r="AC48" s="184"/>
      <c r="AD48" s="185"/>
      <c r="AE48" s="358"/>
      <c r="AF48" s="359"/>
      <c r="AG48" s="359"/>
      <c r="AH48" s="360"/>
      <c r="AI48" s="181">
        <f>AG24+AE25+AE48</f>
        <v>1049.5999999999999</v>
      </c>
      <c r="AJ48" s="181"/>
      <c r="AK48" s="181"/>
      <c r="AL48" s="181"/>
      <c r="AM48" s="182"/>
      <c r="AN48" s="200">
        <f>(K28+W30)*AI48/1000+(AN29*AN30)+IF(AI48&gt;0,1,0)+IF(AY29="x",10.5,0)+IF(BN29="x",7.1,0)+IF(AY30="x",17.1,0)+IF(BN30="x",17.1,0)</f>
        <v>18.937775999999999</v>
      </c>
      <c r="AO48" s="201"/>
      <c r="AP48" s="201"/>
      <c r="AQ48" s="201"/>
      <c r="AR48" s="202"/>
      <c r="AS48" s="197"/>
      <c r="AT48" s="198"/>
      <c r="AU48" s="198"/>
      <c r="AV48" s="198"/>
      <c r="AW48" s="199"/>
      <c r="AX48" s="203">
        <f t="shared" si="0"/>
        <v>18.811823999999998</v>
      </c>
      <c r="AY48" s="201"/>
      <c r="AZ48" s="201"/>
      <c r="BA48" s="201"/>
      <c r="BB48" s="202"/>
      <c r="BC48" s="197"/>
      <c r="BD48" s="198"/>
      <c r="BE48" s="198"/>
      <c r="BF48" s="198"/>
      <c r="BG48" s="199"/>
      <c r="BH48" s="203">
        <f t="shared" si="1"/>
        <v>18.822320000000001</v>
      </c>
      <c r="BI48" s="201"/>
      <c r="BJ48" s="201"/>
      <c r="BK48" s="201"/>
      <c r="BL48" s="202"/>
      <c r="BM48" s="197"/>
      <c r="BN48" s="198"/>
      <c r="BO48" s="198"/>
      <c r="BP48" s="198"/>
      <c r="BQ48" s="214"/>
    </row>
    <row r="49" spans="2:69" s="31" customFormat="1" ht="21.95" customHeight="1" thickBot="1">
      <c r="B49" s="178" t="s">
        <v>111</v>
      </c>
      <c r="C49" s="179"/>
      <c r="D49" s="180"/>
      <c r="E49" s="193">
        <f>IF(AY29="x",8,IF(AY30="x",30,"-"))</f>
        <v>30</v>
      </c>
      <c r="F49" s="194"/>
      <c r="G49" s="196"/>
      <c r="H49" s="193" t="str">
        <f>IF(BN29="x",2,IF(BN30="x",30,"-"))</f>
        <v>-</v>
      </c>
      <c r="I49" s="194"/>
      <c r="J49" s="195"/>
      <c r="K49" s="204"/>
      <c r="L49" s="205"/>
      <c r="M49" s="205"/>
      <c r="N49" s="206"/>
      <c r="O49" s="204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6"/>
      <c r="AB49" s="183"/>
      <c r="AC49" s="184"/>
      <c r="AD49" s="185"/>
      <c r="AE49" s="358"/>
      <c r="AF49" s="359"/>
      <c r="AG49" s="359"/>
      <c r="AH49" s="360"/>
      <c r="AI49" s="181">
        <f>AG24+AE25+AE49</f>
        <v>1049.5999999999999</v>
      </c>
      <c r="AJ49" s="181"/>
      <c r="AK49" s="181"/>
      <c r="AL49" s="181"/>
      <c r="AM49" s="182"/>
      <c r="AN49" s="200">
        <f>(K28+W30)*AI49/1000+(AN29*AN30)+IF(AI49&gt;0,1,0)+IF(AY29="x",10.5,0)+IF(BN29="x",7.1,0)+IF(AY30="x",17.1,0)+IF(BN30="x",17.1,0)</f>
        <v>18.937775999999999</v>
      </c>
      <c r="AO49" s="201"/>
      <c r="AP49" s="201"/>
      <c r="AQ49" s="201"/>
      <c r="AR49" s="202"/>
      <c r="AS49" s="197"/>
      <c r="AT49" s="198"/>
      <c r="AU49" s="198"/>
      <c r="AV49" s="198"/>
      <c r="AW49" s="199"/>
      <c r="AX49" s="203">
        <f t="shared" si="0"/>
        <v>18.811823999999998</v>
      </c>
      <c r="AY49" s="201"/>
      <c r="AZ49" s="201"/>
      <c r="BA49" s="201"/>
      <c r="BB49" s="202"/>
      <c r="BC49" s="197"/>
      <c r="BD49" s="198"/>
      <c r="BE49" s="198"/>
      <c r="BF49" s="198"/>
      <c r="BG49" s="199"/>
      <c r="BH49" s="203">
        <f t="shared" si="1"/>
        <v>18.822320000000001</v>
      </c>
      <c r="BI49" s="201"/>
      <c r="BJ49" s="201"/>
      <c r="BK49" s="201"/>
      <c r="BL49" s="202"/>
      <c r="BM49" s="197"/>
      <c r="BN49" s="198"/>
      <c r="BO49" s="198"/>
      <c r="BP49" s="198"/>
      <c r="BQ49" s="214"/>
    </row>
    <row r="50" spans="2:69" s="31" customFormat="1" ht="21.95" customHeight="1" thickBot="1">
      <c r="B50" s="178" t="s">
        <v>112</v>
      </c>
      <c r="C50" s="179"/>
      <c r="D50" s="180"/>
      <c r="E50" s="193">
        <f>IF(AY29="x",8,IF(AY30="x",31,"-"))</f>
        <v>31</v>
      </c>
      <c r="F50" s="194"/>
      <c r="G50" s="196"/>
      <c r="H50" s="193" t="str">
        <f>IF(BN29="x",3,IF(BN30="x",31,"-"))</f>
        <v>-</v>
      </c>
      <c r="I50" s="194"/>
      <c r="J50" s="195"/>
      <c r="K50" s="204"/>
      <c r="L50" s="205"/>
      <c r="M50" s="205"/>
      <c r="N50" s="206"/>
      <c r="O50" s="204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6"/>
      <c r="AB50" s="183"/>
      <c r="AC50" s="184"/>
      <c r="AD50" s="185"/>
      <c r="AE50" s="358"/>
      <c r="AF50" s="359"/>
      <c r="AG50" s="359"/>
      <c r="AH50" s="360"/>
      <c r="AI50" s="181">
        <f>AG24+AE25+AE50</f>
        <v>1049.5999999999999</v>
      </c>
      <c r="AJ50" s="181"/>
      <c r="AK50" s="181"/>
      <c r="AL50" s="181"/>
      <c r="AM50" s="182"/>
      <c r="AN50" s="200">
        <f>(K28+W30)*AI50/1000+(AN29*AN30)+IF(AI50&gt;0,1,0)+IF(AY29="x",10.5,0)+IF(BN29="x",7.1,0)+IF(AY30="x",17.1,0)+IF(BN30="x",17.1,0)</f>
        <v>18.937775999999999</v>
      </c>
      <c r="AO50" s="201"/>
      <c r="AP50" s="201"/>
      <c r="AQ50" s="201"/>
      <c r="AR50" s="202"/>
      <c r="AS50" s="197"/>
      <c r="AT50" s="198"/>
      <c r="AU50" s="198"/>
      <c r="AV50" s="198"/>
      <c r="AW50" s="199"/>
      <c r="AX50" s="203">
        <f t="shared" si="0"/>
        <v>18.811823999999998</v>
      </c>
      <c r="AY50" s="201"/>
      <c r="AZ50" s="201"/>
      <c r="BA50" s="201"/>
      <c r="BB50" s="202"/>
      <c r="BC50" s="197"/>
      <c r="BD50" s="198"/>
      <c r="BE50" s="198"/>
      <c r="BF50" s="198"/>
      <c r="BG50" s="199"/>
      <c r="BH50" s="203">
        <f t="shared" si="1"/>
        <v>18.822320000000001</v>
      </c>
      <c r="BI50" s="201"/>
      <c r="BJ50" s="201"/>
      <c r="BK50" s="201"/>
      <c r="BL50" s="202"/>
      <c r="BM50" s="197"/>
      <c r="BN50" s="198"/>
      <c r="BO50" s="198"/>
      <c r="BP50" s="198"/>
      <c r="BQ50" s="214"/>
    </row>
    <row r="51" spans="2:69" s="31" customFormat="1" ht="21.95" customHeight="1" thickBot="1">
      <c r="B51" s="238" t="s">
        <v>113</v>
      </c>
      <c r="C51" s="239"/>
      <c r="D51" s="240"/>
      <c r="E51" s="314">
        <f>IF(AY29="x",8,IF(AY30="x",32,"-"))</f>
        <v>32</v>
      </c>
      <c r="F51" s="315"/>
      <c r="G51" s="316"/>
      <c r="H51" s="314" t="str">
        <f>IF(BN29="x",4,IF(BN30="x",32,"-"))</f>
        <v>-</v>
      </c>
      <c r="I51" s="315"/>
      <c r="J51" s="317"/>
      <c r="K51" s="204"/>
      <c r="L51" s="205"/>
      <c r="M51" s="205"/>
      <c r="N51" s="206"/>
      <c r="O51" s="372"/>
      <c r="P51" s="373"/>
      <c r="Q51" s="373"/>
      <c r="R51" s="373"/>
      <c r="S51" s="373"/>
      <c r="T51" s="373"/>
      <c r="U51" s="373"/>
      <c r="V51" s="373"/>
      <c r="W51" s="373"/>
      <c r="X51" s="373"/>
      <c r="Y51" s="373"/>
      <c r="Z51" s="373"/>
      <c r="AA51" s="374"/>
      <c r="AB51" s="243"/>
      <c r="AC51" s="244"/>
      <c r="AD51" s="245"/>
      <c r="AE51" s="369"/>
      <c r="AF51" s="370"/>
      <c r="AG51" s="370"/>
      <c r="AH51" s="371"/>
      <c r="AI51" s="241">
        <f>AG24+AE25+AE51</f>
        <v>1049.5999999999999</v>
      </c>
      <c r="AJ51" s="241"/>
      <c r="AK51" s="241"/>
      <c r="AL51" s="241"/>
      <c r="AM51" s="242"/>
      <c r="AN51" s="237">
        <f>(K28+W30)*AI51/1000+(AN29*AN30)+IF(AI51&gt;0,1,0)+IF(AY29="x",10.5,0)+IF(BN29="x",7.1,0)+IF(AY30="x",17.1,0)+IF(BN30="x",17.1,0)</f>
        <v>18.937775999999999</v>
      </c>
      <c r="AO51" s="212"/>
      <c r="AP51" s="212"/>
      <c r="AQ51" s="212"/>
      <c r="AR51" s="213"/>
      <c r="AS51" s="207"/>
      <c r="AT51" s="208"/>
      <c r="AU51" s="208"/>
      <c r="AV51" s="208"/>
      <c r="AW51" s="210"/>
      <c r="AX51" s="211">
        <f t="shared" si="0"/>
        <v>18.811823999999998</v>
      </c>
      <c r="AY51" s="212"/>
      <c r="AZ51" s="212"/>
      <c r="BA51" s="212"/>
      <c r="BB51" s="213"/>
      <c r="BC51" s="207"/>
      <c r="BD51" s="208"/>
      <c r="BE51" s="208"/>
      <c r="BF51" s="208"/>
      <c r="BG51" s="210"/>
      <c r="BH51" s="211">
        <f t="shared" si="1"/>
        <v>18.822320000000001</v>
      </c>
      <c r="BI51" s="212"/>
      <c r="BJ51" s="212"/>
      <c r="BK51" s="212"/>
      <c r="BL51" s="213"/>
      <c r="BM51" s="207"/>
      <c r="BN51" s="208"/>
      <c r="BO51" s="208"/>
      <c r="BP51" s="208"/>
      <c r="BQ51" s="209"/>
    </row>
    <row r="52" spans="2:69" s="31" customFormat="1" ht="4.5" customHeight="1" thickBot="1"/>
    <row r="53" spans="2:69" s="31" customFormat="1" ht="4.5" customHeight="1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8"/>
    </row>
    <row r="54" spans="2:69" s="31" customFormat="1" ht="17.100000000000001" customHeight="1">
      <c r="B54" s="26"/>
      <c r="C54" s="171"/>
      <c r="D54" s="172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2"/>
      <c r="P54" s="172"/>
      <c r="Q54" s="173"/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4"/>
      <c r="AG54" s="174"/>
      <c r="AH54" s="174"/>
      <c r="AI54" s="174"/>
      <c r="AJ54" s="174"/>
      <c r="AK54" s="172"/>
      <c r="AL54" s="172"/>
      <c r="AM54" s="173"/>
      <c r="AN54" s="172"/>
      <c r="AO54" s="172"/>
      <c r="AP54" s="172"/>
      <c r="AQ54" s="172"/>
      <c r="AR54" s="172"/>
      <c r="AS54" s="174"/>
      <c r="AT54" s="174"/>
      <c r="AU54" s="174"/>
      <c r="AV54" s="174"/>
      <c r="AW54" s="174"/>
      <c r="AX54" s="174"/>
      <c r="AY54" s="172"/>
      <c r="AZ54" s="172"/>
      <c r="BA54" s="172"/>
      <c r="BB54" s="172"/>
      <c r="BC54" s="172"/>
      <c r="BD54" s="172"/>
      <c r="BE54" s="172"/>
      <c r="BF54" s="172"/>
      <c r="BG54" s="172"/>
      <c r="BH54" s="174"/>
      <c r="BI54" s="174"/>
      <c r="BJ54" s="174"/>
      <c r="BK54" s="174"/>
      <c r="BL54" s="174"/>
      <c r="BM54" s="172"/>
      <c r="BN54" s="172"/>
      <c r="BO54" s="175"/>
      <c r="BP54" s="172"/>
      <c r="BQ54" s="48"/>
    </row>
    <row r="55" spans="2:69" s="31" customFormat="1" ht="4.5" customHeight="1" thickBot="1"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4"/>
    </row>
    <row r="56" spans="2:69" s="31" customFormat="1" ht="4.5" customHeight="1" thickBot="1"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2:69" s="35" customFormat="1" ht="20.100000000000001" customHeight="1">
      <c r="B57" s="228" t="s">
        <v>38</v>
      </c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  <c r="AJ57" s="229"/>
      <c r="AK57" s="229"/>
      <c r="AL57" s="229"/>
      <c r="AM57" s="229"/>
      <c r="AN57" s="229"/>
      <c r="AO57" s="229"/>
      <c r="AP57" s="229"/>
      <c r="AQ57" s="229"/>
      <c r="AR57" s="229"/>
      <c r="AS57" s="229"/>
      <c r="AT57" s="229"/>
      <c r="AU57" s="229"/>
      <c r="AV57" s="229"/>
      <c r="AW57" s="229"/>
      <c r="AX57" s="229"/>
      <c r="AY57" s="229"/>
      <c r="AZ57" s="229"/>
      <c r="BA57" s="229"/>
      <c r="BB57" s="229"/>
      <c r="BC57" s="229"/>
      <c r="BD57" s="229"/>
      <c r="BE57" s="229"/>
      <c r="BF57" s="229"/>
      <c r="BG57" s="229"/>
      <c r="BH57" s="229"/>
      <c r="BI57" s="229"/>
      <c r="BJ57" s="229"/>
      <c r="BK57" s="229"/>
      <c r="BL57" s="229"/>
      <c r="BM57" s="229"/>
      <c r="BN57" s="229"/>
      <c r="BO57" s="229"/>
      <c r="BP57" s="229"/>
      <c r="BQ57" s="230"/>
    </row>
    <row r="58" spans="2:69" s="35" customFormat="1" ht="20.100000000000001" customHeight="1">
      <c r="B58" s="9" t="s">
        <v>4</v>
      </c>
      <c r="C58" s="8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3"/>
      <c r="U58" s="44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3"/>
      <c r="AK58" s="44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5"/>
    </row>
    <row r="59" spans="2:69" s="35" customFormat="1" ht="17.100000000000001" customHeight="1">
      <c r="B59" s="231" t="s">
        <v>39</v>
      </c>
      <c r="C59" s="232"/>
      <c r="D59" s="232"/>
      <c r="E59" s="232"/>
      <c r="F59" s="232"/>
      <c r="G59" s="28"/>
      <c r="H59" s="233" t="s">
        <v>161</v>
      </c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4"/>
      <c r="U59" s="235" t="s">
        <v>40</v>
      </c>
      <c r="V59" s="232"/>
      <c r="W59" s="232"/>
      <c r="X59" s="232"/>
      <c r="Y59" s="29"/>
      <c r="Z59" s="236"/>
      <c r="AA59" s="233"/>
      <c r="AB59" s="233"/>
      <c r="AC59" s="233"/>
      <c r="AD59" s="233"/>
      <c r="AE59" s="233"/>
      <c r="AF59" s="233"/>
      <c r="AG59" s="233"/>
      <c r="AH59" s="233"/>
      <c r="AI59" s="233"/>
      <c r="AJ59" s="234"/>
      <c r="AK59" s="235" t="s">
        <v>41</v>
      </c>
      <c r="AL59" s="232"/>
      <c r="AM59" s="232"/>
      <c r="AN59" s="232"/>
      <c r="AO59" s="232"/>
      <c r="AP59" s="232"/>
      <c r="AQ59" s="232"/>
      <c r="AR59" s="27"/>
      <c r="AS59" s="27"/>
      <c r="AT59" s="27"/>
      <c r="AU59" s="27"/>
      <c r="AV59" s="27"/>
      <c r="AW59" s="27"/>
      <c r="AX59" s="27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46"/>
    </row>
    <row r="60" spans="2:69" s="35" customFormat="1" ht="17.100000000000001" customHeight="1">
      <c r="B60" s="231"/>
      <c r="C60" s="232"/>
      <c r="D60" s="232"/>
      <c r="E60" s="232"/>
      <c r="F60" s="232"/>
      <c r="G60" s="28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4"/>
      <c r="U60" s="235"/>
      <c r="V60" s="232"/>
      <c r="W60" s="232"/>
      <c r="X60" s="232"/>
      <c r="Y60" s="29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4"/>
      <c r="AK60" s="235"/>
      <c r="AL60" s="232"/>
      <c r="AM60" s="232"/>
      <c r="AN60" s="232"/>
      <c r="AO60" s="232"/>
      <c r="AP60" s="232"/>
      <c r="AQ60" s="232"/>
      <c r="AR60" s="27"/>
      <c r="AS60" s="27"/>
      <c r="AT60" s="27"/>
      <c r="AU60" s="27"/>
      <c r="AV60" s="27"/>
      <c r="AW60" s="27"/>
      <c r="AX60" s="27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46"/>
    </row>
    <row r="61" spans="2:69" s="35" customFormat="1" ht="4.5" customHeight="1" thickBot="1">
      <c r="B61" s="52"/>
      <c r="C61" s="53"/>
      <c r="D61" s="53"/>
      <c r="E61" s="53"/>
      <c r="F61" s="53"/>
      <c r="G61" s="47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53"/>
      <c r="V61" s="53"/>
      <c r="W61" s="53"/>
      <c r="X61" s="53"/>
      <c r="Y61" s="47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53"/>
      <c r="AL61" s="53"/>
      <c r="AM61" s="53"/>
      <c r="AN61" s="53"/>
      <c r="AO61" s="53"/>
      <c r="AP61" s="53"/>
      <c r="AQ61" s="53"/>
      <c r="AR61" s="54"/>
      <c r="AS61" s="54"/>
      <c r="AT61" s="54"/>
      <c r="AU61" s="54"/>
      <c r="AV61" s="54"/>
      <c r="AW61" s="54"/>
      <c r="AX61" s="54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55"/>
    </row>
    <row r="62" spans="2:69" s="35" customFormat="1" ht="20.100000000000001" customHeight="1" thickBot="1">
      <c r="B62" s="215" t="s">
        <v>131</v>
      </c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7"/>
    </row>
  </sheetData>
  <sheetProtection algorithmName="SHA-512" hashValue="ACYbz0wGtON08/WR9+bJ30Lohr+YrLup1RGyjvLYZ49ZL8MNtoXkCjXqSUW8jsSETS1Z+0T0EPYn/n8/Yir/oA==" saltValue="31RruaZy2jgGuMwGciDZXA==" spinCount="100000" sheet="1" objects="1" scenarios="1" selectLockedCells="1"/>
  <mergeCells count="303">
    <mergeCell ref="B51:D51"/>
    <mergeCell ref="B50:D50"/>
    <mergeCell ref="B49:D49"/>
    <mergeCell ref="B36:D36"/>
    <mergeCell ref="B38:D38"/>
    <mergeCell ref="AB51:AD51"/>
    <mergeCell ref="AB49:AD49"/>
    <mergeCell ref="O33:AA33"/>
    <mergeCell ref="AB48:AD48"/>
    <mergeCell ref="AB47:AD47"/>
    <mergeCell ref="B39:D39"/>
    <mergeCell ref="B40:D40"/>
    <mergeCell ref="B45:D45"/>
    <mergeCell ref="B44:D44"/>
    <mergeCell ref="B43:D43"/>
    <mergeCell ref="E39:G39"/>
    <mergeCell ref="H39:J39"/>
    <mergeCell ref="E40:G40"/>
    <mergeCell ref="E41:G41"/>
    <mergeCell ref="H41:J41"/>
    <mergeCell ref="AB45:AD45"/>
    <mergeCell ref="AB46:AD46"/>
    <mergeCell ref="O36:AA36"/>
    <mergeCell ref="O45:AA45"/>
    <mergeCell ref="S18:AB18"/>
    <mergeCell ref="O50:AA50"/>
    <mergeCell ref="O51:AA51"/>
    <mergeCell ref="BN30:BO30"/>
    <mergeCell ref="BI25:BP25"/>
    <mergeCell ref="AX11:BB11"/>
    <mergeCell ref="AX13:BB13"/>
    <mergeCell ref="BC18:BM18"/>
    <mergeCell ref="BH51:BL51"/>
    <mergeCell ref="BM51:BQ51"/>
    <mergeCell ref="AS24:BB24"/>
    <mergeCell ref="AS25:AZ25"/>
    <mergeCell ref="BA25:BH25"/>
    <mergeCell ref="AY29:AZ29"/>
    <mergeCell ref="BI29:BK29"/>
    <mergeCell ref="BN29:BO29"/>
    <mergeCell ref="AY30:AZ30"/>
    <mergeCell ref="BI30:BK30"/>
    <mergeCell ref="BM45:BQ45"/>
    <mergeCell ref="BH40:BL40"/>
    <mergeCell ref="BM40:BQ40"/>
    <mergeCell ref="AC11:AD11"/>
    <mergeCell ref="AN51:AR51"/>
    <mergeCell ref="BM49:BQ49"/>
    <mergeCell ref="AB50:AD50"/>
    <mergeCell ref="AN50:AR50"/>
    <mergeCell ref="AS50:AW50"/>
    <mergeCell ref="AX50:BB50"/>
    <mergeCell ref="BC50:BG50"/>
    <mergeCell ref="AS51:AW51"/>
    <mergeCell ref="AX51:BB51"/>
    <mergeCell ref="BC51:BG51"/>
    <mergeCell ref="BH50:BL50"/>
    <mergeCell ref="BM50:BQ50"/>
    <mergeCell ref="AS49:AW49"/>
    <mergeCell ref="AX49:BB49"/>
    <mergeCell ref="BC49:BG49"/>
    <mergeCell ref="BH49:BL49"/>
    <mergeCell ref="AE50:AH50"/>
    <mergeCell ref="AI50:AM50"/>
    <mergeCell ref="AN49:AR49"/>
    <mergeCell ref="AE51:AH51"/>
    <mergeCell ref="AI51:AM51"/>
    <mergeCell ref="AI49:AM49"/>
    <mergeCell ref="AE49:AH49"/>
    <mergeCell ref="BM44:BQ44"/>
    <mergeCell ref="AS48:AW48"/>
    <mergeCell ref="AX48:BB48"/>
    <mergeCell ref="BC48:BG48"/>
    <mergeCell ref="BH48:BL48"/>
    <mergeCell ref="BM48:BQ48"/>
    <mergeCell ref="AE47:AH47"/>
    <mergeCell ref="AN47:AR47"/>
    <mergeCell ref="AS47:AW47"/>
    <mergeCell ref="AX47:BB47"/>
    <mergeCell ref="BC47:BG47"/>
    <mergeCell ref="BH47:BL47"/>
    <mergeCell ref="BC46:BG46"/>
    <mergeCell ref="BC44:BG44"/>
    <mergeCell ref="BC45:BG45"/>
    <mergeCell ref="AI44:AM44"/>
    <mergeCell ref="AE45:AH45"/>
    <mergeCell ref="AI45:AM45"/>
    <mergeCell ref="AE46:AH46"/>
    <mergeCell ref="AN48:AR48"/>
    <mergeCell ref="BM47:BQ47"/>
    <mergeCell ref="AN45:AR45"/>
    <mergeCell ref="BH39:BL39"/>
    <mergeCell ref="BH41:BL41"/>
    <mergeCell ref="AN41:AR41"/>
    <mergeCell ref="AS41:AW41"/>
    <mergeCell ref="AX41:BB41"/>
    <mergeCell ref="AS45:AW45"/>
    <mergeCell ref="AX45:BB45"/>
    <mergeCell ref="BH46:BL46"/>
    <mergeCell ref="BM46:BQ46"/>
    <mergeCell ref="AN46:AR46"/>
    <mergeCell ref="AS46:AW46"/>
    <mergeCell ref="BH42:BL42"/>
    <mergeCell ref="BM42:BQ42"/>
    <mergeCell ref="BM43:BQ43"/>
    <mergeCell ref="BH43:BL43"/>
    <mergeCell ref="AN42:AR42"/>
    <mergeCell ref="BC43:BG43"/>
    <mergeCell ref="AS42:AW42"/>
    <mergeCell ref="AX42:BB42"/>
    <mergeCell ref="BC42:BG42"/>
    <mergeCell ref="AX46:BB46"/>
    <mergeCell ref="AN43:AR43"/>
    <mergeCell ref="BH45:BL45"/>
    <mergeCell ref="BH44:BL44"/>
    <mergeCell ref="B62:BQ62"/>
    <mergeCell ref="AN36:AR36"/>
    <mergeCell ref="AS36:AW36"/>
    <mergeCell ref="AX36:BB36"/>
    <mergeCell ref="BC36:BG36"/>
    <mergeCell ref="BH36:BL36"/>
    <mergeCell ref="BM36:BQ36"/>
    <mergeCell ref="AN37:AR37"/>
    <mergeCell ref="AS37:AW37"/>
    <mergeCell ref="BM37:BQ37"/>
    <mergeCell ref="AI47:AM47"/>
    <mergeCell ref="AE48:AH48"/>
    <mergeCell ref="B57:BQ57"/>
    <mergeCell ref="B59:F60"/>
    <mergeCell ref="H59:T60"/>
    <mergeCell ref="U59:X60"/>
    <mergeCell ref="Z59:AJ60"/>
    <mergeCell ref="AK59:AQ60"/>
    <mergeCell ref="AI38:AM38"/>
    <mergeCell ref="BH38:BL38"/>
    <mergeCell ref="AI46:AM46"/>
    <mergeCell ref="AE44:AH44"/>
    <mergeCell ref="AE42:AH42"/>
    <mergeCell ref="K51:N51"/>
    <mergeCell ref="BC20:BM20"/>
    <mergeCell ref="AR7:BF7"/>
    <mergeCell ref="AK18:AS18"/>
    <mergeCell ref="BI7:BJ7"/>
    <mergeCell ref="S20:AB20"/>
    <mergeCell ref="AK20:AS20"/>
    <mergeCell ref="AB44:AD44"/>
    <mergeCell ref="AN44:AR44"/>
    <mergeCell ref="AS44:AW44"/>
    <mergeCell ref="AX44:BB44"/>
    <mergeCell ref="AI39:AM39"/>
    <mergeCell ref="AN39:AR39"/>
    <mergeCell ref="AS39:AW39"/>
    <mergeCell ref="AX39:BB39"/>
    <mergeCell ref="AB39:AD39"/>
    <mergeCell ref="AB40:AD40"/>
    <mergeCell ref="AB41:AD41"/>
    <mergeCell ref="AB42:AD42"/>
    <mergeCell ref="BC41:BG41"/>
    <mergeCell ref="AS43:AW43"/>
    <mergeCell ref="AX43:BB43"/>
    <mergeCell ref="T11:W11"/>
    <mergeCell ref="AE11:AH11"/>
    <mergeCell ref="AI11:AK11"/>
    <mergeCell ref="B2:BG2"/>
    <mergeCell ref="BH2:BQ3"/>
    <mergeCell ref="B3:BG3"/>
    <mergeCell ref="D7:AL7"/>
    <mergeCell ref="BK7:BM7"/>
    <mergeCell ref="BC11:BF11"/>
    <mergeCell ref="BC13:BF13"/>
    <mergeCell ref="X11:AB11"/>
    <mergeCell ref="AR11:AT11"/>
    <mergeCell ref="AI13:AK13"/>
    <mergeCell ref="AN13:AP13"/>
    <mergeCell ref="AR13:AT13"/>
    <mergeCell ref="BN7:BO7"/>
    <mergeCell ref="X13:AB13"/>
    <mergeCell ref="AN11:AQ11"/>
    <mergeCell ref="BH34:BQ34"/>
    <mergeCell ref="BM35:BQ35"/>
    <mergeCell ref="AX35:BB35"/>
    <mergeCell ref="BH35:BL35"/>
    <mergeCell ref="AS35:AW35"/>
    <mergeCell ref="AN33:BQ33"/>
    <mergeCell ref="AN34:AW34"/>
    <mergeCell ref="AI48:AM48"/>
    <mergeCell ref="AI42:AM42"/>
    <mergeCell ref="AI41:AM41"/>
    <mergeCell ref="BM38:BQ38"/>
    <mergeCell ref="AX37:BB37"/>
    <mergeCell ref="BC37:BG37"/>
    <mergeCell ref="BH37:BL37"/>
    <mergeCell ref="AN38:AR38"/>
    <mergeCell ref="AS38:AW38"/>
    <mergeCell ref="AX38:BB38"/>
    <mergeCell ref="BC38:BG38"/>
    <mergeCell ref="AI40:AM40"/>
    <mergeCell ref="BM41:BQ41"/>
    <mergeCell ref="BM39:BQ39"/>
    <mergeCell ref="AN40:AR40"/>
    <mergeCell ref="AS40:AW40"/>
    <mergeCell ref="AX40:BB40"/>
    <mergeCell ref="O41:AA41"/>
    <mergeCell ref="O42:AA42"/>
    <mergeCell ref="O43:AA43"/>
    <mergeCell ref="O44:AA44"/>
    <mergeCell ref="O49:AA49"/>
    <mergeCell ref="AX34:BG34"/>
    <mergeCell ref="AG24:AI24"/>
    <mergeCell ref="BC35:BG35"/>
    <mergeCell ref="AL24:AR24"/>
    <mergeCell ref="AJ24:AK24"/>
    <mergeCell ref="O46:AA46"/>
    <mergeCell ref="O47:AA47"/>
    <mergeCell ref="O48:AA48"/>
    <mergeCell ref="AE41:AH41"/>
    <mergeCell ref="AE39:AH39"/>
    <mergeCell ref="AE37:AH37"/>
    <mergeCell ref="AE38:AH38"/>
    <mergeCell ref="AE40:AH40"/>
    <mergeCell ref="BC40:BG40"/>
    <mergeCell ref="BC39:BG39"/>
    <mergeCell ref="AE43:AH43"/>
    <mergeCell ref="AI43:AM43"/>
    <mergeCell ref="AB43:AD43"/>
    <mergeCell ref="B46:D46"/>
    <mergeCell ref="E47:G47"/>
    <mergeCell ref="H47:J47"/>
    <mergeCell ref="E48:G48"/>
    <mergeCell ref="K49:N49"/>
    <mergeCell ref="K50:N50"/>
    <mergeCell ref="K41:N41"/>
    <mergeCell ref="K42:N42"/>
    <mergeCell ref="K43:N43"/>
    <mergeCell ref="K44:N44"/>
    <mergeCell ref="B48:D48"/>
    <mergeCell ref="K45:N45"/>
    <mergeCell ref="K46:N46"/>
    <mergeCell ref="K47:N47"/>
    <mergeCell ref="K48:N48"/>
    <mergeCell ref="B47:D47"/>
    <mergeCell ref="E49:G49"/>
    <mergeCell ref="H49:J49"/>
    <mergeCell ref="E50:G50"/>
    <mergeCell ref="H50:J50"/>
    <mergeCell ref="B42:D42"/>
    <mergeCell ref="B41:D41"/>
    <mergeCell ref="E42:G42"/>
    <mergeCell ref="H42:J42"/>
    <mergeCell ref="E51:G51"/>
    <mergeCell ref="H51:J51"/>
    <mergeCell ref="E43:G43"/>
    <mergeCell ref="H43:J43"/>
    <mergeCell ref="E44:G44"/>
    <mergeCell ref="H44:J44"/>
    <mergeCell ref="H48:J48"/>
    <mergeCell ref="E45:G45"/>
    <mergeCell ref="H45:J45"/>
    <mergeCell ref="E46:G46"/>
    <mergeCell ref="H46:J46"/>
    <mergeCell ref="H40:J40"/>
    <mergeCell ref="K37:N37"/>
    <mergeCell ref="K38:N38"/>
    <mergeCell ref="K39:N39"/>
    <mergeCell ref="K40:N40"/>
    <mergeCell ref="O34:AA34"/>
    <mergeCell ref="O35:AA35"/>
    <mergeCell ref="AJ25:AK25"/>
    <mergeCell ref="AB38:AD38"/>
    <mergeCell ref="AB36:AD36"/>
    <mergeCell ref="AB37:AD37"/>
    <mergeCell ref="AE36:AH36"/>
    <mergeCell ref="H37:J37"/>
    <mergeCell ref="K28:M28"/>
    <mergeCell ref="K29:M29"/>
    <mergeCell ref="K30:M30"/>
    <mergeCell ref="AI37:AM37"/>
    <mergeCell ref="H33:J35"/>
    <mergeCell ref="K33:N35"/>
    <mergeCell ref="AI36:AM36"/>
    <mergeCell ref="O37:AA37"/>
    <mergeCell ref="O38:AA38"/>
    <mergeCell ref="O39:AA39"/>
    <mergeCell ref="O40:AA40"/>
    <mergeCell ref="B37:D37"/>
    <mergeCell ref="E38:G38"/>
    <mergeCell ref="H38:J38"/>
    <mergeCell ref="K36:N36"/>
    <mergeCell ref="E36:G36"/>
    <mergeCell ref="H36:J36"/>
    <mergeCell ref="E37:G37"/>
    <mergeCell ref="AL25:AR25"/>
    <mergeCell ref="AB33:AH33"/>
    <mergeCell ref="AI33:AM35"/>
    <mergeCell ref="AB34:AD35"/>
    <mergeCell ref="AE34:AH35"/>
    <mergeCell ref="W30:Y30"/>
    <mergeCell ref="AN30:AP30"/>
    <mergeCell ref="AE25:AI25"/>
    <mergeCell ref="AN35:AR35"/>
    <mergeCell ref="AN29:AP29"/>
    <mergeCell ref="B33:D35"/>
    <mergeCell ref="E33:G35"/>
  </mergeCells>
  <phoneticPr fontId="11" type="noConversion"/>
  <conditionalFormatting sqref="AS36:AW36">
    <cfRule type="cellIs" dxfId="48" priority="3" stopIfTrue="1" operator="greaterThan">
      <formula>$AN$36</formula>
    </cfRule>
  </conditionalFormatting>
  <conditionalFormatting sqref="AS37:AW37">
    <cfRule type="cellIs" dxfId="47" priority="4" stopIfTrue="1" operator="greaterThan">
      <formula>$AN$37</formula>
    </cfRule>
  </conditionalFormatting>
  <conditionalFormatting sqref="AS51:AW51">
    <cfRule type="cellIs" dxfId="46" priority="5" stopIfTrue="1" operator="greaterThan">
      <formula>$AN$51</formula>
    </cfRule>
  </conditionalFormatting>
  <conditionalFormatting sqref="BC36:BG36">
    <cfRule type="cellIs" dxfId="45" priority="6" stopIfTrue="1" operator="greaterThan">
      <formula>$AX$36</formula>
    </cfRule>
  </conditionalFormatting>
  <conditionalFormatting sqref="BC37:BG37">
    <cfRule type="cellIs" dxfId="44" priority="7" stopIfTrue="1" operator="greaterThan">
      <formula>$AX$37</formula>
    </cfRule>
  </conditionalFormatting>
  <conditionalFormatting sqref="BC51:BG51">
    <cfRule type="cellIs" dxfId="43" priority="8" stopIfTrue="1" operator="greaterThan">
      <formula>$AX$51</formula>
    </cfRule>
  </conditionalFormatting>
  <conditionalFormatting sqref="BM36:BQ36">
    <cfRule type="cellIs" dxfId="42" priority="9" stopIfTrue="1" operator="greaterThan">
      <formula>$BH$36</formula>
    </cfRule>
  </conditionalFormatting>
  <conditionalFormatting sqref="BM37:BQ37">
    <cfRule type="cellIs" dxfId="41" priority="10" stopIfTrue="1" operator="greaterThan">
      <formula>$BH$37</formula>
    </cfRule>
  </conditionalFormatting>
  <conditionalFormatting sqref="BM51:BQ51">
    <cfRule type="cellIs" dxfId="40" priority="11" stopIfTrue="1" operator="greaterThan">
      <formula>$BH$51</formula>
    </cfRule>
  </conditionalFormatting>
  <conditionalFormatting sqref="AS38:AW38">
    <cfRule type="cellIs" dxfId="39" priority="12" stopIfTrue="1" operator="greaterThan">
      <formula>$AN$38</formula>
    </cfRule>
  </conditionalFormatting>
  <conditionalFormatting sqref="AS39:AW39">
    <cfRule type="cellIs" dxfId="38" priority="13" stopIfTrue="1" operator="greaterThan">
      <formula>$AN$39</formula>
    </cfRule>
  </conditionalFormatting>
  <conditionalFormatting sqref="AS40:AW40">
    <cfRule type="cellIs" dxfId="37" priority="14" stopIfTrue="1" operator="greaterThan">
      <formula>$AN$40</formula>
    </cfRule>
  </conditionalFormatting>
  <conditionalFormatting sqref="AS41:AW41">
    <cfRule type="cellIs" dxfId="36" priority="15" stopIfTrue="1" operator="greaterThan">
      <formula>$AN$41</formula>
    </cfRule>
  </conditionalFormatting>
  <conditionalFormatting sqref="AS42:AW42">
    <cfRule type="cellIs" dxfId="35" priority="16" stopIfTrue="1" operator="greaterThan">
      <formula>$AN$42</formula>
    </cfRule>
  </conditionalFormatting>
  <conditionalFormatting sqref="AS43:AW43">
    <cfRule type="cellIs" dxfId="34" priority="17" stopIfTrue="1" operator="greaterThan">
      <formula>$AN$43</formula>
    </cfRule>
  </conditionalFormatting>
  <conditionalFormatting sqref="AS44:AW44">
    <cfRule type="cellIs" dxfId="33" priority="18" stopIfTrue="1" operator="greaterThan">
      <formula>$AN$44</formula>
    </cfRule>
  </conditionalFormatting>
  <conditionalFormatting sqref="AS45:AW45">
    <cfRule type="cellIs" dxfId="32" priority="19" stopIfTrue="1" operator="greaterThan">
      <formula>$AN$45</formula>
    </cfRule>
  </conditionalFormatting>
  <conditionalFormatting sqref="AS46:AW46">
    <cfRule type="cellIs" dxfId="31" priority="20" stopIfTrue="1" operator="greaterThan">
      <formula>$AN$46</formula>
    </cfRule>
  </conditionalFormatting>
  <conditionalFormatting sqref="AS47:AW47">
    <cfRule type="cellIs" dxfId="30" priority="21" stopIfTrue="1" operator="greaterThan">
      <formula>$AN$47</formula>
    </cfRule>
  </conditionalFormatting>
  <conditionalFormatting sqref="AS48:AW48">
    <cfRule type="cellIs" dxfId="29" priority="22" stopIfTrue="1" operator="greaterThan">
      <formula>$AN$48</formula>
    </cfRule>
  </conditionalFormatting>
  <conditionalFormatting sqref="AS49:AW49">
    <cfRule type="cellIs" dxfId="28" priority="23" stopIfTrue="1" operator="greaterThan">
      <formula>$AN$49</formula>
    </cfRule>
  </conditionalFormatting>
  <conditionalFormatting sqref="AS50:AW50">
    <cfRule type="cellIs" dxfId="27" priority="24" stopIfTrue="1" operator="greaterThan">
      <formula>$AN$50</formula>
    </cfRule>
  </conditionalFormatting>
  <conditionalFormatting sqref="BC38:BG38">
    <cfRule type="cellIs" dxfId="26" priority="25" stopIfTrue="1" operator="greaterThan">
      <formula>$AX$38</formula>
    </cfRule>
  </conditionalFormatting>
  <conditionalFormatting sqref="BC39:BG39">
    <cfRule type="cellIs" dxfId="25" priority="26" stopIfTrue="1" operator="greaterThan">
      <formula>$AX$39</formula>
    </cfRule>
  </conditionalFormatting>
  <conditionalFormatting sqref="BC40:BG40">
    <cfRule type="cellIs" dxfId="24" priority="27" stopIfTrue="1" operator="greaterThan">
      <formula>$AX$40</formula>
    </cfRule>
  </conditionalFormatting>
  <conditionalFormatting sqref="BC41:BG41">
    <cfRule type="cellIs" dxfId="23" priority="28" stopIfTrue="1" operator="greaterThan">
      <formula>$AX$41</formula>
    </cfRule>
  </conditionalFormatting>
  <conditionalFormatting sqref="BC43:BG43">
    <cfRule type="cellIs" dxfId="22" priority="29" stopIfTrue="1" operator="greaterThan">
      <formula>$AX$43</formula>
    </cfRule>
  </conditionalFormatting>
  <conditionalFormatting sqref="BC44:BG44">
    <cfRule type="cellIs" dxfId="21" priority="30" stopIfTrue="1" operator="greaterThan">
      <formula>$AX$44</formula>
    </cfRule>
  </conditionalFormatting>
  <conditionalFormatting sqref="BC45:BG45">
    <cfRule type="cellIs" dxfId="20" priority="31" stopIfTrue="1" operator="greaterThan">
      <formula>$AX$45</formula>
    </cfRule>
  </conditionalFormatting>
  <conditionalFormatting sqref="BC46:BG46">
    <cfRule type="cellIs" dxfId="19" priority="32" stopIfTrue="1" operator="greaterThan">
      <formula>$AX$46</formula>
    </cfRule>
  </conditionalFormatting>
  <conditionalFormatting sqref="BC47:BG47">
    <cfRule type="cellIs" dxfId="18" priority="33" stopIfTrue="1" operator="greaterThan">
      <formula>$AX$47</formula>
    </cfRule>
  </conditionalFormatting>
  <conditionalFormatting sqref="BC48:BG48">
    <cfRule type="cellIs" dxfId="17" priority="34" stopIfTrue="1" operator="greaterThan">
      <formula>$AX$48</formula>
    </cfRule>
  </conditionalFormatting>
  <conditionalFormatting sqref="BC49:BG49">
    <cfRule type="cellIs" dxfId="16" priority="35" stopIfTrue="1" operator="greaterThan">
      <formula>$AX$49</formula>
    </cfRule>
  </conditionalFormatting>
  <conditionalFormatting sqref="BC50:BG50">
    <cfRule type="cellIs" dxfId="15" priority="36" stopIfTrue="1" operator="greaterThan">
      <formula>$AX$50</formula>
    </cfRule>
  </conditionalFormatting>
  <conditionalFormatting sqref="BM38:BQ38">
    <cfRule type="cellIs" dxfId="14" priority="37" stopIfTrue="1" operator="greaterThan">
      <formula>$BH$38</formula>
    </cfRule>
  </conditionalFormatting>
  <conditionalFormatting sqref="BM39:BQ39">
    <cfRule type="cellIs" dxfId="13" priority="38" stopIfTrue="1" operator="greaterThan">
      <formula>$BH$39</formula>
    </cfRule>
  </conditionalFormatting>
  <conditionalFormatting sqref="BM40:BQ40">
    <cfRule type="cellIs" dxfId="12" priority="39" stopIfTrue="1" operator="greaterThan">
      <formula>$BH$40</formula>
    </cfRule>
  </conditionalFormatting>
  <conditionalFormatting sqref="BM41:BQ41">
    <cfRule type="cellIs" dxfId="11" priority="40" stopIfTrue="1" operator="greaterThan">
      <formula>$BH$41</formula>
    </cfRule>
  </conditionalFormatting>
  <conditionalFormatting sqref="BM42:BQ42">
    <cfRule type="cellIs" dxfId="10" priority="41" stopIfTrue="1" operator="greaterThan">
      <formula>$BH$42</formula>
    </cfRule>
  </conditionalFormatting>
  <conditionalFormatting sqref="BM43:BQ43">
    <cfRule type="cellIs" dxfId="9" priority="42" stopIfTrue="1" operator="greaterThan">
      <formula>$BH$43</formula>
    </cfRule>
  </conditionalFormatting>
  <conditionalFormatting sqref="BM44:BQ44">
    <cfRule type="cellIs" dxfId="8" priority="43" stopIfTrue="1" operator="greaterThan">
      <formula>$BH$44</formula>
    </cfRule>
  </conditionalFormatting>
  <conditionalFormatting sqref="BM45:BQ45">
    <cfRule type="cellIs" dxfId="7" priority="44" stopIfTrue="1" operator="greaterThan">
      <formula>$BH$45</formula>
    </cfRule>
  </conditionalFormatting>
  <conditionalFormatting sqref="BM46:BQ46">
    <cfRule type="cellIs" dxfId="6" priority="45" stopIfTrue="1" operator="greaterThan">
      <formula>$BH$46</formula>
    </cfRule>
  </conditionalFormatting>
  <conditionalFormatting sqref="BM47:BQ47">
    <cfRule type="cellIs" dxfId="5" priority="46" stopIfTrue="1" operator="greaterThan">
      <formula>$BH$47</formula>
    </cfRule>
  </conditionalFormatting>
  <conditionalFormatting sqref="BM48:BQ48">
    <cfRule type="cellIs" dxfId="4" priority="47" stopIfTrue="1" operator="greaterThan">
      <formula>$BH$48</formula>
    </cfRule>
  </conditionalFormatting>
  <conditionalFormatting sqref="BM49:BQ49">
    <cfRule type="cellIs" dxfId="3" priority="48" stopIfTrue="1" operator="greaterThan">
      <formula>$BH$49</formula>
    </cfRule>
  </conditionalFormatting>
  <conditionalFormatting sqref="BM50:BQ50">
    <cfRule type="cellIs" dxfId="2" priority="49" stopIfTrue="1" operator="greaterThan">
      <formula>$BH$50</formula>
    </cfRule>
  </conditionalFormatting>
  <conditionalFormatting sqref="BC42:BG42">
    <cfRule type="cellIs" dxfId="1" priority="50" stopIfTrue="1" operator="greaterThan">
      <formula>$AX$42</formula>
    </cfRule>
  </conditionalFormatting>
  <conditionalFormatting sqref="AF54:AJ54 AS54:AX54 BH54:BL54">
    <cfRule type="cellIs" dxfId="0" priority="1" stopIfTrue="1" operator="lessThan">
      <formula>32</formula>
    </cfRule>
  </conditionalFormatting>
  <dataValidations count="2">
    <dataValidation type="list" allowBlank="1" showInputMessage="1" showErrorMessage="1" sqref="AI11:AK11">
      <formula1>$DR$35:$DR$49</formula1>
    </dataValidation>
    <dataValidation type="list" allowBlank="1" showInputMessage="1" showErrorMessage="1" sqref="AR11:AT11">
      <formula1>$DS$35:$DS$42</formula1>
    </dataValidation>
  </dataValidations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49"/>
  <sheetViews>
    <sheetView showGridLines="0" showRowColHeaders="0" zoomScaleNormal="100" workbookViewId="0">
      <selection activeCell="B10" sqref="B10"/>
    </sheetView>
  </sheetViews>
  <sheetFormatPr baseColWidth="10" defaultRowHeight="12.75"/>
  <cols>
    <col min="1" max="1" width="2.7109375" style="3" customWidth="1"/>
    <col min="2" max="2" width="32.7109375" style="4" bestFit="1" customWidth="1"/>
    <col min="3" max="3" width="64.28515625" style="5" customWidth="1"/>
    <col min="4" max="4" width="2.7109375" style="3" customWidth="1"/>
    <col min="5" max="16384" width="11.42578125" style="3"/>
  </cols>
  <sheetData>
    <row r="1" spans="2:3" ht="15.75" customHeight="1" thickBot="1"/>
    <row r="2" spans="2:3" ht="45.75" customHeight="1" thickBot="1">
      <c r="B2" s="377" t="s">
        <v>126</v>
      </c>
      <c r="C2" s="378"/>
    </row>
    <row r="3" spans="2:3" s="6" customFormat="1" ht="20.100000000000001" customHeight="1">
      <c r="B3" s="160" t="s">
        <v>7</v>
      </c>
      <c r="C3" s="161" t="s">
        <v>8</v>
      </c>
    </row>
    <row r="4" spans="2:3" s="6" customFormat="1" ht="20.100000000000001" customHeight="1">
      <c r="B4" s="153" t="s">
        <v>9</v>
      </c>
      <c r="C4" s="154" t="s">
        <v>118</v>
      </c>
    </row>
    <row r="5" spans="2:3" s="6" customFormat="1" ht="20.100000000000001" customHeight="1">
      <c r="B5" s="153" t="s">
        <v>10</v>
      </c>
      <c r="C5" s="154" t="s">
        <v>16</v>
      </c>
    </row>
    <row r="6" spans="2:3" s="6" customFormat="1" ht="20.100000000000001" customHeight="1">
      <c r="B6" s="155" t="s">
        <v>67</v>
      </c>
      <c r="C6" s="156" t="s">
        <v>68</v>
      </c>
    </row>
    <row r="7" spans="2:3" s="6" customFormat="1" ht="20.100000000000001" customHeight="1">
      <c r="B7" s="155" t="s">
        <v>69</v>
      </c>
      <c r="C7" s="156" t="s">
        <v>70</v>
      </c>
    </row>
    <row r="8" spans="2:3" s="6" customFormat="1" ht="20.100000000000001" customHeight="1">
      <c r="B8" s="153" t="s">
        <v>2</v>
      </c>
      <c r="C8" s="154" t="s">
        <v>154</v>
      </c>
    </row>
    <row r="9" spans="2:3" s="6" customFormat="1" ht="20.100000000000001" customHeight="1">
      <c r="B9" s="153" t="s">
        <v>158</v>
      </c>
      <c r="C9" s="170" t="s">
        <v>155</v>
      </c>
    </row>
    <row r="10" spans="2:3" s="6" customFormat="1" ht="20.100000000000001" customHeight="1">
      <c r="B10" s="153" t="s">
        <v>71</v>
      </c>
      <c r="C10" s="170" t="s">
        <v>156</v>
      </c>
    </row>
    <row r="11" spans="2:3" s="6" customFormat="1" ht="20.100000000000001" customHeight="1">
      <c r="B11" s="153" t="s">
        <v>151</v>
      </c>
      <c r="C11" s="170" t="s">
        <v>157</v>
      </c>
    </row>
    <row r="12" spans="2:3" s="6" customFormat="1" ht="20.100000000000001" customHeight="1">
      <c r="B12" s="153" t="s">
        <v>65</v>
      </c>
      <c r="C12" s="154" t="s">
        <v>72</v>
      </c>
    </row>
    <row r="13" spans="2:3" s="6" customFormat="1" ht="20.100000000000001" customHeight="1">
      <c r="B13" s="153" t="s">
        <v>37</v>
      </c>
      <c r="C13" s="154" t="s">
        <v>73</v>
      </c>
    </row>
    <row r="14" spans="2:3" s="6" customFormat="1" ht="20.100000000000001" customHeight="1">
      <c r="B14" s="153" t="s">
        <v>87</v>
      </c>
      <c r="C14" s="154" t="s">
        <v>119</v>
      </c>
    </row>
    <row r="15" spans="2:3" s="6" customFormat="1" ht="20.100000000000001" customHeight="1">
      <c r="B15" s="153" t="s">
        <v>88</v>
      </c>
      <c r="C15" s="154" t="s">
        <v>120</v>
      </c>
    </row>
    <row r="16" spans="2:3" s="6" customFormat="1" ht="20.100000000000001" customHeight="1">
      <c r="B16" s="155" t="s">
        <v>74</v>
      </c>
      <c r="C16" s="156" t="s">
        <v>75</v>
      </c>
    </row>
    <row r="17" spans="2:3" s="6" customFormat="1" ht="20.100000000000001" customHeight="1">
      <c r="B17" s="155" t="s">
        <v>76</v>
      </c>
      <c r="C17" s="156" t="s">
        <v>77</v>
      </c>
    </row>
    <row r="18" spans="2:3" s="6" customFormat="1" ht="20.100000000000001" customHeight="1">
      <c r="B18" s="155" t="s">
        <v>78</v>
      </c>
      <c r="C18" s="156" t="s">
        <v>79</v>
      </c>
    </row>
    <row r="19" spans="2:3" s="6" customFormat="1" ht="20.100000000000001" customHeight="1">
      <c r="B19" s="155" t="s">
        <v>80</v>
      </c>
      <c r="C19" s="156" t="s">
        <v>81</v>
      </c>
    </row>
    <row r="20" spans="2:3" s="6" customFormat="1" ht="20.100000000000001" customHeight="1">
      <c r="B20" s="155" t="s">
        <v>76</v>
      </c>
      <c r="C20" s="156" t="s">
        <v>77</v>
      </c>
    </row>
    <row r="21" spans="2:3" s="6" customFormat="1" ht="20.100000000000001" customHeight="1">
      <c r="B21" s="155" t="s">
        <v>78</v>
      </c>
      <c r="C21" s="156" t="s">
        <v>79</v>
      </c>
    </row>
    <row r="22" spans="2:3" s="6" customFormat="1" ht="20.100000000000001" customHeight="1">
      <c r="B22" s="155" t="s">
        <v>136</v>
      </c>
      <c r="C22" s="156" t="s">
        <v>142</v>
      </c>
    </row>
    <row r="23" spans="2:3" s="6" customFormat="1" ht="32.1" customHeight="1">
      <c r="B23" s="155" t="s">
        <v>138</v>
      </c>
      <c r="C23" s="156" t="s">
        <v>143</v>
      </c>
    </row>
    <row r="24" spans="2:3" s="6" customFormat="1" ht="20.100000000000001" customHeight="1">
      <c r="B24" s="155" t="s">
        <v>86</v>
      </c>
      <c r="C24" s="156" t="s">
        <v>82</v>
      </c>
    </row>
    <row r="25" spans="2:3" s="6" customFormat="1" ht="20.100000000000001" customHeight="1">
      <c r="B25" s="153" t="s">
        <v>122</v>
      </c>
      <c r="C25" s="154" t="s">
        <v>121</v>
      </c>
    </row>
    <row r="26" spans="2:3" s="6" customFormat="1" ht="20.100000000000001" customHeight="1">
      <c r="B26" s="153" t="s">
        <v>123</v>
      </c>
      <c r="C26" s="154" t="s">
        <v>124</v>
      </c>
    </row>
    <row r="27" spans="2:3" s="6" customFormat="1" ht="20.100000000000001" customHeight="1">
      <c r="B27" s="153" t="s">
        <v>147</v>
      </c>
      <c r="C27" s="154" t="s">
        <v>148</v>
      </c>
    </row>
    <row r="28" spans="2:3" s="6" customFormat="1" ht="20.100000000000001" customHeight="1">
      <c r="B28" s="153" t="s">
        <v>61</v>
      </c>
      <c r="C28" s="154" t="s">
        <v>125</v>
      </c>
    </row>
    <row r="29" spans="2:3" s="6" customFormat="1" ht="32.1" customHeight="1">
      <c r="B29" s="153" t="s">
        <v>83</v>
      </c>
      <c r="C29" s="154" t="s">
        <v>84</v>
      </c>
    </row>
    <row r="30" spans="2:3" s="6" customFormat="1" ht="32.1" customHeight="1">
      <c r="B30" s="153" t="s">
        <v>144</v>
      </c>
      <c r="C30" s="154" t="s">
        <v>146</v>
      </c>
    </row>
    <row r="31" spans="2:3" s="6" customFormat="1" ht="32.1" customHeight="1">
      <c r="B31" s="153" t="s">
        <v>85</v>
      </c>
      <c r="C31" s="154" t="s">
        <v>145</v>
      </c>
    </row>
    <row r="32" spans="2:3" s="6" customFormat="1" ht="32.1" customHeight="1">
      <c r="B32" s="157" t="s">
        <v>133</v>
      </c>
      <c r="C32" s="154" t="s">
        <v>127</v>
      </c>
    </row>
    <row r="33" spans="2:3" s="6" customFormat="1" ht="20.100000000000001" customHeight="1">
      <c r="B33" s="155" t="s">
        <v>4</v>
      </c>
      <c r="C33" s="156" t="s">
        <v>11</v>
      </c>
    </row>
    <row r="34" spans="2:3" ht="15" customHeight="1">
      <c r="B34" s="153" t="s">
        <v>12</v>
      </c>
      <c r="C34" s="152" t="s">
        <v>13</v>
      </c>
    </row>
    <row r="35" spans="2:3" ht="15" customHeight="1" thickBot="1">
      <c r="B35" s="158" t="s">
        <v>14</v>
      </c>
      <c r="C35" s="159" t="s">
        <v>15</v>
      </c>
    </row>
    <row r="36" spans="2:3" ht="15" customHeight="1"/>
    <row r="37" spans="2:3" ht="15" customHeight="1"/>
    <row r="38" spans="2:3" ht="15" customHeight="1"/>
    <row r="39" spans="2:3" ht="15" customHeight="1"/>
    <row r="40" spans="2:3" ht="15" customHeight="1"/>
    <row r="41" spans="2:3" ht="15" customHeight="1"/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</sheetData>
  <sheetProtection algorithmName="SHA-512" hashValue="pfy6MALJbzSIZRDVVE0hg/PaRLssFz8JIBR3hsU2wMuX5dLMxCdbHxYmdcRMp8xMr6c0zBzcdjSoggybwIu36w==" saltValue="Sr8uMyjIR8vG3UTvp/zIbg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9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Abnahme_GPON_1-16</vt:lpstr>
      <vt:lpstr>Abnahme_GPON_17-32</vt:lpstr>
      <vt:lpstr>Erläuterungen</vt:lpstr>
      <vt:lpstr>'Abnahme_GPON_1-16'!Druckbereich</vt:lpstr>
      <vt:lpstr>'Abnahme_GPON_17-32'!Druckbereich</vt:lpstr>
      <vt:lpstr>Erläuterungen!Druckbereich</vt:lpstr>
    </vt:vector>
  </TitlesOfParts>
  <Company>AK "Gf-Mess"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Abnahmemessung - FTTH</dc:title>
  <dc:subject>Messprotokoll_1</dc:subject>
  <dc:creator>T. Rösler, PTI 11, TI NL Mitte-Ost</dc:creator>
  <cp:lastModifiedBy>Steffi Hiller</cp:lastModifiedBy>
  <cp:lastPrinted>2010-11-19T13:01:15Z</cp:lastPrinted>
  <dcterms:created xsi:type="dcterms:W3CDTF">1999-09-29T18:52:38Z</dcterms:created>
  <dcterms:modified xsi:type="dcterms:W3CDTF">2019-07-29T13:15:13Z</dcterms:modified>
</cp:coreProperties>
</file>